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0" activeTab="0"/>
  </bookViews>
  <sheets>
    <sheet name="Viljandi" sheetId="1" r:id="rId1"/>
    <sheet name="Ülevaade kuuliselt" sheetId="2" state="hidden" r:id="rId2"/>
    <sheet name="Joonised Charts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/>
  <calcPr fullCalcOnLoad="1"/>
</workbook>
</file>

<file path=xl/comments1.xml><?xml version="1.0" encoding="utf-8"?>
<comments xmlns="http://schemas.openxmlformats.org/spreadsheetml/2006/main">
  <authors>
    <author>Tiina Jaksi</author>
  </authors>
  <commentList>
    <comment ref="L11" authorId="0">
      <text>
        <r>
          <rPr>
            <b/>
            <sz val="9"/>
            <rFont val="Segoe UI"/>
            <family val="0"/>
          </rPr>
          <t>Tiina Jaksi:</t>
        </r>
        <r>
          <rPr>
            <sz val="9"/>
            <rFont val="Segoe UI"/>
            <family val="0"/>
          </rPr>
          <t xml:space="preserve">
sh ühinemistoetus 50% 716 500</t>
        </r>
      </text>
    </comment>
  </commentList>
</comments>
</file>

<file path=xl/comments2.xml><?xml version="1.0" encoding="utf-8"?>
<comments xmlns="http://schemas.openxmlformats.org/spreadsheetml/2006/main">
  <authors>
    <author>Andrus J?gi</author>
  </authors>
  <commentList>
    <comment ref="BH194" authorId="0">
      <text>
        <r>
          <rPr>
            <b/>
            <sz val="8"/>
            <rFont val="Tahoma"/>
            <family val="2"/>
          </rPr>
          <t>Andrus Jõgi:</t>
        </r>
        <r>
          <rPr>
            <sz val="8"/>
            <rFont val="Tahoma"/>
            <family val="2"/>
          </rPr>
          <t xml:space="preserve">
Tallinn maksis toetuse TAK-le ja TTTK-le välja aasta lõpus.</t>
        </r>
      </text>
    </comment>
  </commentList>
</comments>
</file>

<file path=xl/sharedStrings.xml><?xml version="1.0" encoding="utf-8"?>
<sst xmlns="http://schemas.openxmlformats.org/spreadsheetml/2006/main" count="517" uniqueCount="338">
  <si>
    <t>Täitmine</t>
  </si>
  <si>
    <t>Eelarve  kassapõhine</t>
  </si>
  <si>
    <t>Täitmine  kassapõhine</t>
  </si>
  <si>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</si>
  <si>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</si>
  <si>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</si>
  <si>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</si>
  <si>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</si>
  <si>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</si>
  <si>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</si>
  <si>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</si>
  <si>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</si>
  <si>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</si>
  <si>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</si>
  <si>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</si>
  <si>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</si>
  <si>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</si>
  <si>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</si>
  <si>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</si>
  <si>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</si>
  <si>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</si>
  <si>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</si>
  <si>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</si>
  <si>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</si>
  <si>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</si>
  <si>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</si>
  <si>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</si>
  <si>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</si>
  <si>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</si>
  <si>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413</t>
  </si>
  <si>
    <t>Sotsiaalabitoetused ja muud toetused füüsilistele isikutele</t>
  </si>
  <si>
    <t>4500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</si>
  <si>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</si>
  <si>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</si>
  <si>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</si>
  <si>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</si>
  <si>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</si>
  <si>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</si>
  <si>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</si>
  <si>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</si>
  <si>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</si>
  <si>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</si>
  <si>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</si>
  <si>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</si>
  <si>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</si>
  <si>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</si>
  <si>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</si>
  <si>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</si>
  <si>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</si>
  <si>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</si>
  <si>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</si>
  <si>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</si>
  <si>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1502</t>
  </si>
  <si>
    <t>Osaluste müük (+)</t>
  </si>
  <si>
    <t>1501</t>
  </si>
  <si>
    <t>Osaluste soetus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</si>
  <si>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</si>
  <si>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</si>
  <si>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</si>
  <si>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</si>
  <si>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</si>
  <si>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</si>
  <si>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</si>
  <si>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</si>
  <si>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</si>
  <si>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</si>
  <si>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</si>
  <si>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</si>
  <si>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</si>
  <si>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</si>
  <si>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</si>
  <si>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</si>
  <si>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</si>
  <si>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</si>
  <si>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</si>
  <si>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</si>
  <si>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</si>
  <si>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</si>
  <si>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</si>
  <si>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</si>
  <si>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</si>
  <si>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</si>
  <si>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</si>
  <si>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</si>
  <si>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</si>
  <si>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</si>
  <si>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</si>
  <si>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</si>
  <si>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</si>
  <si>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</si>
  <si>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</si>
  <si>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04210</t>
  </si>
  <si>
    <t>Põllumajandus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</si>
  <si>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</si>
  <si>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</si>
  <si>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</si>
  <si>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</si>
  <si>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</si>
  <si>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</si>
  <si>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</si>
  <si>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</si>
  <si>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</si>
  <si>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</si>
  <si>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</si>
  <si>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</si>
  <si>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</si>
  <si>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</si>
  <si>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</si>
  <si>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</si>
  <si>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</si>
  <si>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</si>
  <si>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</si>
  <si>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</si>
  <si>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</si>
  <si>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</si>
  <si>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</si>
  <si>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</si>
  <si>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06</t>
  </si>
  <si>
    <t>Elamu- ja kommunaalmajandus</t>
  </si>
  <si>
    <t>06100</t>
  </si>
  <si>
    <t>Elamumajanduse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</si>
  <si>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</si>
  <si>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</si>
  <si>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</si>
  <si>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</si>
  <si>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</si>
  <si>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</si>
  <si>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07</t>
  </si>
  <si>
    <t>Tervishoid</t>
  </si>
  <si>
    <t>07200</t>
  </si>
  <si>
    <t>Ambulatoorsed teenused  (kiirabi)</t>
  </si>
  <si>
    <t>07600</t>
  </si>
  <si>
    <t>Muu tervishoid, sh. tervishoiu haldamine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</si>
  <si>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</si>
  <si>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</si>
  <si>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</si>
  <si>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</si>
  <si>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</si>
  <si>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</si>
  <si>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</si>
  <si>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</si>
  <si>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</si>
  <si>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08201</t>
  </si>
  <si>
    <t>Raamatukogud</t>
  </si>
  <si>
    <t>08202</t>
  </si>
  <si>
    <t>08203</t>
  </si>
  <si>
    <t>Muuseumid</t>
  </si>
  <si>
    <t>08207</t>
  </si>
  <si>
    <t>Muinsuskaitse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</si>
  <si>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</si>
  <si>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</si>
  <si>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</si>
  <si>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</si>
  <si>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</si>
  <si>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</si>
  <si>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</si>
  <si>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</si>
  <si>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</si>
  <si>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</si>
  <si>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</si>
  <si>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</si>
  <si>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09600</t>
  </si>
  <si>
    <t>Koolitransport</t>
  </si>
  <si>
    <t>09601</t>
  </si>
  <si>
    <t>Koolitoit</t>
  </si>
  <si>
    <t>09800</t>
  </si>
  <si>
    <t>Muu haridus, sh. hariduse haldus</t>
  </si>
  <si>
    <t>10</t>
  </si>
  <si>
    <t>Sotsiaalne kaitse</t>
  </si>
  <si>
    <t>10110</t>
  </si>
  <si>
    <t>Haigete sotsiaalne kaitse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</si>
  <si>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</si>
  <si>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</si>
  <si>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</si>
  <si>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</si>
  <si>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</si>
  <si>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</si>
  <si>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10400</t>
  </si>
  <si>
    <t>Laste ja noorte sotsiaalhoolekande asutused</t>
  </si>
  <si>
    <t>10402</t>
  </si>
  <si>
    <t>Muu perekondade ja laste sotsiaalne kaitse</t>
  </si>
  <si>
    <t>10600</t>
  </si>
  <si>
    <t>Eluasemeteenused sotsiaalsetele riskirühmadele</t>
  </si>
  <si>
    <t>10701</t>
  </si>
  <si>
    <t>Riiklik toimetulekutoetus</t>
  </si>
  <si>
    <t>10900</t>
  </si>
  <si>
    <t>Muu sotsiaalne kaitse, sh. sotsiaalse kaitse haldus</t>
  </si>
  <si>
    <t xml:space="preserve">MUUD NÄITAJAD </t>
  </si>
  <si>
    <t>Aasta alguse seisuga</t>
  </si>
  <si>
    <t>2580</t>
  </si>
  <si>
    <t>Võlakohustused</t>
  </si>
  <si>
    <t>1000</t>
  </si>
  <si>
    <t>Likviidsed varad</t>
  </si>
  <si>
    <t>Perioodi lõpu seisuga</t>
  </si>
  <si>
    <t>2581</t>
  </si>
  <si>
    <t>1001</t>
  </si>
  <si>
    <t>KOKKU</t>
  </si>
  <si>
    <t>Kolga-Jaani Vallavalitsus</t>
  </si>
  <si>
    <t>Tarvastu Vallavalitsus</t>
  </si>
  <si>
    <t>Viljandi Vallavalitsus</t>
  </si>
  <si>
    <t>Põhitegevuse tulud (+)</t>
  </si>
  <si>
    <t>Primary revenues (+)</t>
  </si>
  <si>
    <t>Taxes</t>
  </si>
  <si>
    <t>- tulumaks</t>
  </si>
  <si>
    <t>- personal income tax (PIT)</t>
  </si>
  <si>
    <t>- maamaks</t>
  </si>
  <si>
    <t>- land tax</t>
  </si>
  <si>
    <t>- muud kohalikud maksud</t>
  </si>
  <si>
    <t>- other local taxes</t>
  </si>
  <si>
    <t>Kaupade ja teenuse müük</t>
  </si>
  <si>
    <t>Income from economical activities and property</t>
  </si>
  <si>
    <t>Received grants for current activities</t>
  </si>
  <si>
    <t>- tasandusfond</t>
  </si>
  <si>
    <t>- equalization fond</t>
  </si>
  <si>
    <t>- toetusfond</t>
  </si>
  <si>
    <t>- block grant from State Budget</t>
  </si>
  <si>
    <t>- muud toetused tegevuskuludeks</t>
  </si>
  <si>
    <t>- other grants for current activities</t>
  </si>
  <si>
    <t>Muud tegevustulud</t>
  </si>
  <si>
    <t>Other primary revenues</t>
  </si>
  <si>
    <t>Põhitegevuse kulud (+)</t>
  </si>
  <si>
    <t>Primary expenditures (+)</t>
  </si>
  <si>
    <t>Given grants for current activities</t>
  </si>
  <si>
    <t>Personalikulud</t>
  </si>
  <si>
    <t>Staff costs (wages with taxes)</t>
  </si>
  <si>
    <t>Economic costs</t>
  </si>
  <si>
    <t>Other primary expenditures</t>
  </si>
  <si>
    <t>Põhitegevuse tulem</t>
  </si>
  <si>
    <t>Surplus/deficit from primary activities</t>
  </si>
  <si>
    <t>Investeerimistegevus (+/-)</t>
  </si>
  <si>
    <t>Investment activities</t>
  </si>
  <si>
    <t>Põhivara müük</t>
  </si>
  <si>
    <t>Sale of property</t>
  </si>
  <si>
    <t>Põhivara soetus</t>
  </si>
  <si>
    <t>Investments</t>
  </si>
  <si>
    <t>Põhivara soetuseks saadav sihtfinantseerimine</t>
  </si>
  <si>
    <t>Received grants for investments</t>
  </si>
  <si>
    <t>Põhivara soetuseks antav sihtfinantseerimine</t>
  </si>
  <si>
    <t>Given grants for investments</t>
  </si>
  <si>
    <t>Osaluste ning muude aktsiate ja osade ost ja müük</t>
  </si>
  <si>
    <t>Change in financial assets</t>
  </si>
  <si>
    <t>Antud ja tagasilaekuvad laenud</t>
  </si>
  <si>
    <t>Loans given and repayments</t>
  </si>
  <si>
    <t>Finantstulud</t>
  </si>
  <si>
    <t>Financial incomes</t>
  </si>
  <si>
    <t>Finantskulud</t>
  </si>
  <si>
    <t>Financial expenses (Interest costs)</t>
  </si>
  <si>
    <t>Eelarve tulem</t>
  </si>
  <si>
    <t>Budget surplus / deficit</t>
  </si>
  <si>
    <t>Finantseerimistegevus</t>
  </si>
  <si>
    <t>Change in liabilities</t>
  </si>
  <si>
    <t>Likviidsete varade muutus</t>
  </si>
  <si>
    <t>Change in cash and deposits</t>
  </si>
  <si>
    <t>Nõuete ja kohustuste saldo muutus</t>
  </si>
  <si>
    <t>Change in liabilities and claims</t>
  </si>
  <si>
    <t>Kassa ja hoiuste vaba jääk</t>
  </si>
  <si>
    <t>Cash and deposits</t>
  </si>
  <si>
    <t>Põhitegegevuse tulude kasv</t>
  </si>
  <si>
    <t>Increase in primary revenues</t>
  </si>
  <si>
    <t>Põhitegevuse kulude kasv</t>
  </si>
  <si>
    <t>Increase in primary expenditures</t>
  </si>
  <si>
    <t>Sissetulekud</t>
  </si>
  <si>
    <t>Investeeringute omaosalus (sh antud toetused)</t>
  </si>
  <si>
    <t>Self-financed investments (incl given grants)</t>
  </si>
  <si>
    <t>Omavalitsusüksuste eelarve täitmine 2004-2013 (eurot)</t>
  </si>
  <si>
    <t>Local Governments revenues and expenditures 2004-2013 (euro)</t>
  </si>
  <si>
    <t>I kv</t>
  </si>
  <si>
    <t>II kv</t>
  </si>
  <si>
    <t>III kv</t>
  </si>
  <si>
    <t>IV kv</t>
  </si>
  <si>
    <t>Põhitegevuse tulud</t>
  </si>
  <si>
    <t>Tasakaal</t>
  </si>
  <si>
    <t>Esialgne eelarve</t>
  </si>
  <si>
    <t>Lõplik eelarve</t>
  </si>
  <si>
    <t>Kassapõhine täitmine</t>
  </si>
  <si>
    <t>Tekkepõhine täitmine (KOV grupp)</t>
  </si>
  <si>
    <t>Tulumaks</t>
  </si>
  <si>
    <t>Muud maksutulud</t>
  </si>
  <si>
    <t>Toetusfond</t>
  </si>
  <si>
    <t>Muutus %</t>
  </si>
  <si>
    <t>Toetused investeeringuteks</t>
  </si>
  <si>
    <t>Muud toetused</t>
  </si>
  <si>
    <t>Vara müük</t>
  </si>
  <si>
    <t>Muud sissetulekud</t>
  </si>
  <si>
    <t>Põhitegevuse tulude jaotus</t>
  </si>
  <si>
    <t>Väljaminekud</t>
  </si>
  <si>
    <t>Antud toetused investeeringuteks</t>
  </si>
  <si>
    <t>Kohustuste tasumine</t>
  </si>
  <si>
    <t>Muud väljaminekud</t>
  </si>
  <si>
    <t>Põhitegevuse kulud</t>
  </si>
  <si>
    <t>kontroll</t>
  </si>
  <si>
    <t>Tegevusalati</t>
  </si>
  <si>
    <t>Üldvalitsemine</t>
  </si>
  <si>
    <t>Majandus (sh elamu- ja kommunaal-majandus)</t>
  </si>
  <si>
    <t>Muu</t>
  </si>
  <si>
    <t>Muud omatulud</t>
  </si>
  <si>
    <t>Põhietgevuse kulude jaotus</t>
  </si>
  <si>
    <t>Muud saadud toetused</t>
  </si>
  <si>
    <t>Kvartaalne eelarve tasakaal</t>
  </si>
  <si>
    <t>Kummulatiivne tasakaal</t>
  </si>
  <si>
    <t>Finantseerimistehingud</t>
  </si>
  <si>
    <t>Kohustuste kummulatiivne muutus</t>
  </si>
  <si>
    <t>Investeeringud ja selleks antud toetused</t>
  </si>
  <si>
    <t>keskmine</t>
  </si>
  <si>
    <t>Muud põhitegevuse kulud</t>
  </si>
  <si>
    <t>Saadud toetused tegevuskuludeks</t>
  </si>
  <si>
    <t>Muud põhitegevuse tulud</t>
  </si>
  <si>
    <t>Saadud toetused investeeringuteks ja vara müük</t>
  </si>
  <si>
    <t>PÕHITEGEVUSE TULUD (euro)</t>
  </si>
  <si>
    <t>PÕHITEGEVUSE KULUD (euro)</t>
  </si>
  <si>
    <t>Primary revenues quarterly (euro)</t>
  </si>
  <si>
    <t>Primary expenditures quarterly (euro)</t>
  </si>
  <si>
    <t>EELARVETE TULEM KUMMULATIIVSELT</t>
  </si>
  <si>
    <t>Võlakohustuste kummulatiivne muutus</t>
  </si>
  <si>
    <t>Local governments' cumulative budget balance quarterly</t>
  </si>
  <si>
    <t>Cumulative change in local governments' liabilities</t>
  </si>
  <si>
    <t>Likviidsed vahendid</t>
  </si>
  <si>
    <t>osakaal 2013</t>
  </si>
  <si>
    <t>osakaal 2014</t>
  </si>
  <si>
    <t>Eelarvestatud eelarve tulemi ja tegeliku täitmise võrdlus 2004-2015</t>
  </si>
  <si>
    <t>Väljaminekute struktuur 2015</t>
  </si>
  <si>
    <t>Põhitegevuse kulude ja investeerimistegevuse väljaminekute struktuur valdkonniti 2015 (COFOG)</t>
  </si>
  <si>
    <t>Põhitegevuse tulude ja kulude muutus</t>
  </si>
  <si>
    <t>osakaal 2015</t>
  </si>
  <si>
    <t>Sissetulekute struktuur 2015</t>
  </si>
  <si>
    <t>05101</t>
  </si>
  <si>
    <t>Avalike alade puhastus</t>
  </si>
  <si>
    <t>Vaba aja (üritused) tegevused</t>
  </si>
  <si>
    <t>Rahvakultuur</t>
  </si>
  <si>
    <t>09510</t>
  </si>
  <si>
    <t xml:space="preserve">Noorte huviharidus ja huvitegevus </t>
  </si>
  <si>
    <t>2018</t>
  </si>
  <si>
    <t>Võrdlus 2017 eelarvega</t>
  </si>
  <si>
    <t>Võrdlus 2017 eelarve täitmisega</t>
  </si>
  <si>
    <t>01330</t>
  </si>
  <si>
    <t>Muud üdised teenused</t>
  </si>
  <si>
    <t>Eelarve kassapõhine</t>
  </si>
  <si>
    <t>2017 KOOND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</si>
</sst>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General_)"/>
  </numFmts>
  <fonts count="5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medium"/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/>
      <top style="thin">
        <color indexed="31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31"/>
      </right>
      <top style="medium"/>
      <bottom style="thin">
        <color indexed="31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31"/>
      </top>
      <bottom style="thin">
        <color indexed="31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31"/>
      </bottom>
    </border>
    <border>
      <left style="medium"/>
      <right style="medium"/>
      <top style="thin">
        <color indexed="31"/>
      </top>
      <bottom style="medium"/>
    </border>
    <border>
      <left>
        <color indexed="63"/>
      </left>
      <right style="medium"/>
      <top style="thin">
        <color indexed="31"/>
      </top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>
        <color indexed="63"/>
      </left>
      <right style="medium"/>
      <top style="thin">
        <color indexed="31"/>
      </top>
      <bottom style="medium"/>
    </border>
    <border>
      <left style="medium"/>
      <right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31"/>
      </left>
      <right style="medium"/>
      <top style="medium"/>
      <bottom style="thin">
        <color indexed="31"/>
      </bottom>
    </border>
    <border>
      <left style="medium"/>
      <right style="medium"/>
      <top style="medium"/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0" fontId="6" fillId="0" borderId="0">
      <alignment/>
      <protection/>
    </xf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0" borderId="9" applyNumberFormat="0" applyAlignment="0" applyProtection="0"/>
  </cellStyleXfs>
  <cellXfs count="1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0" fontId="7" fillId="34" borderId="12" xfId="48" applyFont="1" applyFill="1" applyBorder="1" applyAlignment="1">
      <alignment horizontal="center" wrapText="1"/>
      <protection/>
    </xf>
    <xf numFmtId="0" fontId="0" fillId="0" borderId="0" xfId="48">
      <alignment/>
      <protection/>
    </xf>
    <xf numFmtId="0" fontId="7" fillId="35" borderId="12" xfId="48" applyFont="1" applyFill="1" applyBorder="1">
      <alignment/>
      <protection/>
    </xf>
    <xf numFmtId="3" fontId="7" fillId="35" borderId="12" xfId="48" applyNumberFormat="1" applyFont="1" applyFill="1" applyBorder="1">
      <alignment/>
      <protection/>
    </xf>
    <xf numFmtId="0" fontId="0" fillId="0" borderId="12" xfId="48" applyBorder="1">
      <alignment/>
      <protection/>
    </xf>
    <xf numFmtId="3" fontId="0" fillId="0" borderId="12" xfId="48" applyNumberFormat="1" applyBorder="1">
      <alignment/>
      <protection/>
    </xf>
    <xf numFmtId="3" fontId="0" fillId="0" borderId="0" xfId="48" applyNumberFormat="1">
      <alignment/>
      <protection/>
    </xf>
    <xf numFmtId="0" fontId="8" fillId="0" borderId="12" xfId="48" applyFont="1" applyBorder="1" quotePrefix="1">
      <alignment/>
      <protection/>
    </xf>
    <xf numFmtId="3" fontId="8" fillId="0" borderId="12" xfId="48" applyNumberFormat="1" applyFont="1" applyBorder="1">
      <alignment/>
      <protection/>
    </xf>
    <xf numFmtId="0" fontId="0" fillId="0" borderId="12" xfId="48" applyBorder="1" applyAlignment="1">
      <alignment wrapText="1"/>
      <protection/>
    </xf>
    <xf numFmtId="3" fontId="0" fillId="0" borderId="12" xfId="48" applyNumberFormat="1" applyFont="1" applyBorder="1">
      <alignment/>
      <protection/>
    </xf>
    <xf numFmtId="0" fontId="0" fillId="0" borderId="12" xfId="48" applyFont="1" applyBorder="1">
      <alignment/>
      <protection/>
    </xf>
    <xf numFmtId="0" fontId="0" fillId="0" borderId="12" xfId="48" applyFont="1" applyBorder="1">
      <alignment/>
      <protection/>
    </xf>
    <xf numFmtId="0" fontId="7" fillId="35" borderId="12" xfId="48" applyFont="1" applyFill="1" applyBorder="1" applyAlignment="1">
      <alignment wrapText="1"/>
      <protection/>
    </xf>
    <xf numFmtId="0" fontId="7" fillId="35" borderId="12" xfId="48" applyFont="1" applyFill="1" applyBorder="1">
      <alignment/>
      <protection/>
    </xf>
    <xf numFmtId="3" fontId="50" fillId="0" borderId="12" xfId="48" applyNumberFormat="1" applyFont="1" applyBorder="1">
      <alignment/>
      <protection/>
    </xf>
    <xf numFmtId="0" fontId="7" fillId="0" borderId="12" xfId="48" applyFont="1" applyBorder="1">
      <alignment/>
      <protection/>
    </xf>
    <xf numFmtId="3" fontId="7" fillId="0" borderId="12" xfId="48" applyNumberFormat="1" applyFont="1" applyBorder="1">
      <alignment/>
      <protection/>
    </xf>
    <xf numFmtId="3" fontId="7" fillId="0" borderId="12" xfId="48" applyNumberFormat="1" applyFont="1" applyBorder="1">
      <alignment/>
      <protection/>
    </xf>
    <xf numFmtId="0" fontId="0" fillId="0" borderId="12" xfId="48" applyFill="1" applyBorder="1" applyAlignment="1">
      <alignment wrapText="1"/>
      <protection/>
    </xf>
    <xf numFmtId="180" fontId="0" fillId="0" borderId="12" xfId="48" applyNumberFormat="1" applyBorder="1">
      <alignment/>
      <protection/>
    </xf>
    <xf numFmtId="180" fontId="0" fillId="0" borderId="0" xfId="48" applyNumberFormat="1">
      <alignment/>
      <protection/>
    </xf>
    <xf numFmtId="4" fontId="0" fillId="0" borderId="0" xfId="48" applyNumberFormat="1">
      <alignment/>
      <protection/>
    </xf>
    <xf numFmtId="0" fontId="0" fillId="0" borderId="0" xfId="49">
      <alignment/>
      <protection/>
    </xf>
    <xf numFmtId="0" fontId="7" fillId="0" borderId="12" xfId="48" applyFont="1" applyBorder="1" applyAlignment="1">
      <alignment wrapText="1"/>
      <protection/>
    </xf>
    <xf numFmtId="0" fontId="7" fillId="0" borderId="12" xfId="48" applyFont="1" applyBorder="1" applyAlignment="1">
      <alignment horizontal="center"/>
      <protection/>
    </xf>
    <xf numFmtId="0" fontId="7" fillId="0" borderId="12" xfId="48" applyFont="1" applyBorder="1">
      <alignment/>
      <protection/>
    </xf>
    <xf numFmtId="9" fontId="0" fillId="0" borderId="12" xfId="48" applyNumberFormat="1" applyBorder="1">
      <alignment/>
      <protection/>
    </xf>
    <xf numFmtId="0" fontId="0" fillId="0" borderId="12" xfId="48" applyBorder="1" applyAlignment="1">
      <alignment horizontal="right"/>
      <protection/>
    </xf>
    <xf numFmtId="3" fontId="50" fillId="0" borderId="0" xfId="48" applyNumberFormat="1" applyFont="1">
      <alignment/>
      <protection/>
    </xf>
    <xf numFmtId="0" fontId="7" fillId="0" borderId="12" xfId="49" applyFont="1" applyBorder="1" applyAlignment="1">
      <alignment horizontal="center"/>
      <protection/>
    </xf>
    <xf numFmtId="9" fontId="0" fillId="0" borderId="0" xfId="48" applyNumberFormat="1">
      <alignment/>
      <protection/>
    </xf>
    <xf numFmtId="3" fontId="0" fillId="0" borderId="12" xfId="48" applyNumberFormat="1" applyFont="1" applyFill="1" applyBorder="1">
      <alignment/>
      <protection/>
    </xf>
    <xf numFmtId="3" fontId="50" fillId="36" borderId="12" xfId="48" applyNumberFormat="1" applyFont="1" applyFill="1" applyBorder="1">
      <alignment/>
      <protection/>
    </xf>
    <xf numFmtId="0" fontId="7" fillId="0" borderId="0" xfId="48" applyFont="1">
      <alignment/>
      <protection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10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Alignment="1">
      <alignment/>
    </xf>
    <xf numFmtId="0" fontId="0" fillId="0" borderId="0" xfId="0" applyFill="1" applyAlignment="1">
      <alignment/>
    </xf>
    <xf numFmtId="10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0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10" fontId="7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4" fontId="3" fillId="33" borderId="18" xfId="0" applyNumberFormat="1" applyFont="1" applyFill="1" applyBorder="1" applyAlignment="1">
      <alignment horizontal="right"/>
    </xf>
    <xf numFmtId="4" fontId="4" fillId="33" borderId="20" xfId="0" applyNumberFormat="1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wrapText="1"/>
    </xf>
    <xf numFmtId="4" fontId="4" fillId="13" borderId="14" xfId="0" applyNumberFormat="1" applyFont="1" applyFill="1" applyBorder="1" applyAlignment="1">
      <alignment horizontal="right"/>
    </xf>
    <xf numFmtId="4" fontId="4" fillId="13" borderId="15" xfId="0" applyNumberFormat="1" applyFont="1" applyFill="1" applyBorder="1" applyAlignment="1">
      <alignment horizontal="right"/>
    </xf>
    <xf numFmtId="4" fontId="4" fillId="37" borderId="14" xfId="0" applyNumberFormat="1" applyFont="1" applyFill="1" applyBorder="1" applyAlignment="1">
      <alignment horizontal="right"/>
    </xf>
    <xf numFmtId="4" fontId="4" fillId="37" borderId="15" xfId="0" applyNumberFormat="1" applyFont="1" applyFill="1" applyBorder="1" applyAlignment="1">
      <alignment horizontal="right"/>
    </xf>
    <xf numFmtId="49" fontId="4" fillId="38" borderId="11" xfId="0" applyNumberFormat="1" applyFont="1" applyFill="1" applyBorder="1" applyAlignment="1">
      <alignment horizontal="left" wrapText="1"/>
    </xf>
    <xf numFmtId="4" fontId="4" fillId="39" borderId="14" xfId="0" applyNumberFormat="1" applyFont="1" applyFill="1" applyBorder="1" applyAlignment="1">
      <alignment horizontal="right"/>
    </xf>
    <xf numFmtId="4" fontId="4" fillId="39" borderId="15" xfId="0" applyNumberFormat="1" applyFont="1" applyFill="1" applyBorder="1" applyAlignment="1">
      <alignment horizontal="right"/>
    </xf>
    <xf numFmtId="4" fontId="4" fillId="38" borderId="14" xfId="0" applyNumberFormat="1" applyFont="1" applyFill="1" applyBorder="1" applyAlignment="1">
      <alignment horizontal="right"/>
    </xf>
    <xf numFmtId="4" fontId="4" fillId="38" borderId="15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49" fontId="51" fillId="33" borderId="10" xfId="0" applyNumberFormat="1" applyFont="1" applyFill="1" applyBorder="1" applyAlignment="1">
      <alignment horizontal="left" wrapText="1"/>
    </xf>
    <xf numFmtId="4" fontId="51" fillId="0" borderId="16" xfId="0" applyNumberFormat="1" applyFont="1" applyFill="1" applyBorder="1" applyAlignment="1">
      <alignment horizontal="right"/>
    </xf>
    <xf numFmtId="4" fontId="51" fillId="0" borderId="17" xfId="0" applyNumberFormat="1" applyFont="1" applyFill="1" applyBorder="1" applyAlignment="1">
      <alignment horizontal="right"/>
    </xf>
    <xf numFmtId="0" fontId="52" fillId="33" borderId="0" xfId="0" applyFont="1" applyFill="1" applyAlignment="1">
      <alignment vertical="center"/>
    </xf>
    <xf numFmtId="4" fontId="4" fillId="33" borderId="16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4" fontId="4" fillId="37" borderId="21" xfId="0" applyNumberFormat="1" applyFont="1" applyFill="1" applyBorder="1" applyAlignment="1">
      <alignment horizontal="right"/>
    </xf>
    <xf numFmtId="4" fontId="4" fillId="37" borderId="22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4" fontId="4" fillId="37" borderId="24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right"/>
    </xf>
    <xf numFmtId="4" fontId="4" fillId="38" borderId="24" xfId="0" applyNumberFormat="1" applyFont="1" applyFill="1" applyBorder="1" applyAlignment="1">
      <alignment horizontal="right"/>
    </xf>
    <xf numFmtId="4" fontId="51" fillId="0" borderId="25" xfId="0" applyNumberFormat="1" applyFont="1" applyFill="1" applyBorder="1" applyAlignment="1">
      <alignment horizontal="right"/>
    </xf>
    <xf numFmtId="4" fontId="4" fillId="33" borderId="25" xfId="0" applyNumberFormat="1" applyFont="1" applyFill="1" applyBorder="1" applyAlignment="1">
      <alignment horizontal="right"/>
    </xf>
    <xf numFmtId="4" fontId="4" fillId="37" borderId="26" xfId="0" applyNumberFormat="1" applyFont="1" applyFill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4" fontId="3" fillId="33" borderId="28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4" fontId="3" fillId="33" borderId="30" xfId="0" applyNumberFormat="1" applyFont="1" applyFill="1" applyBorder="1" applyAlignment="1">
      <alignment horizontal="right"/>
    </xf>
    <xf numFmtId="4" fontId="3" fillId="33" borderId="31" xfId="0" applyNumberFormat="1" applyFont="1" applyFill="1" applyBorder="1" applyAlignment="1">
      <alignment horizontal="right"/>
    </xf>
    <xf numFmtId="4" fontId="4" fillId="37" borderId="32" xfId="0" applyNumberFormat="1" applyFont="1" applyFill="1" applyBorder="1" applyAlignment="1">
      <alignment horizontal="right"/>
    </xf>
    <xf numFmtId="49" fontId="4" fillId="40" borderId="33" xfId="0" applyNumberFormat="1" applyFont="1" applyFill="1" applyBorder="1" applyAlignment="1">
      <alignment horizontal="center" vertical="center" wrapText="1"/>
    </xf>
    <xf numFmtId="4" fontId="4" fillId="37" borderId="20" xfId="0" applyNumberFormat="1" applyFont="1" applyFill="1" applyBorder="1" applyAlignment="1">
      <alignment horizontal="right"/>
    </xf>
    <xf numFmtId="4" fontId="4" fillId="13" borderId="32" xfId="0" applyNumberFormat="1" applyFont="1" applyFill="1" applyBorder="1" applyAlignment="1">
      <alignment horizontal="right"/>
    </xf>
    <xf numFmtId="49" fontId="4" fillId="36" borderId="33" xfId="0" applyNumberFormat="1" applyFont="1" applyFill="1" applyBorder="1" applyAlignment="1">
      <alignment horizontal="center" vertical="center" wrapText="1"/>
    </xf>
    <xf numFmtId="4" fontId="4" fillId="13" borderId="20" xfId="0" applyNumberFormat="1" applyFont="1" applyFill="1" applyBorder="1" applyAlignment="1">
      <alignment horizontal="right"/>
    </xf>
    <xf numFmtId="4" fontId="4" fillId="33" borderId="34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49" fontId="4" fillId="41" borderId="35" xfId="0" applyNumberFormat="1" applyFont="1" applyFill="1" applyBorder="1" applyAlignment="1">
      <alignment horizontal="center" vertical="center" wrapText="1"/>
    </xf>
    <xf numFmtId="49" fontId="4" fillId="42" borderId="35" xfId="0" applyNumberFormat="1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 vertical="center"/>
    </xf>
    <xf numFmtId="4" fontId="4" fillId="43" borderId="24" xfId="0" applyNumberFormat="1" applyFont="1" applyFill="1" applyBorder="1" applyAlignment="1">
      <alignment horizontal="right"/>
    </xf>
    <xf numFmtId="4" fontId="3" fillId="43" borderId="25" xfId="0" applyNumberFormat="1" applyFont="1" applyFill="1" applyBorder="1" applyAlignment="1">
      <alignment horizontal="right"/>
    </xf>
    <xf numFmtId="4" fontId="4" fillId="43" borderId="25" xfId="0" applyNumberFormat="1" applyFont="1" applyFill="1" applyBorder="1" applyAlignment="1">
      <alignment horizontal="right"/>
    </xf>
    <xf numFmtId="49" fontId="4" fillId="37" borderId="35" xfId="0" applyNumberFormat="1" applyFont="1" applyFill="1" applyBorder="1" applyAlignment="1">
      <alignment horizontal="center" vertical="center" wrapText="1"/>
    </xf>
    <xf numFmtId="49" fontId="4" fillId="44" borderId="36" xfId="0" applyNumberFormat="1" applyFont="1" applyFill="1" applyBorder="1" applyAlignment="1">
      <alignment horizontal="center" vertical="center" wrapText="1"/>
    </xf>
    <xf numFmtId="49" fontId="4" fillId="44" borderId="37" xfId="0" applyNumberFormat="1" applyFont="1" applyFill="1" applyBorder="1" applyAlignment="1">
      <alignment horizontal="center" vertical="center" wrapText="1"/>
    </xf>
    <xf numFmtId="49" fontId="4" fillId="44" borderId="38" xfId="0" applyNumberFormat="1" applyFont="1" applyFill="1" applyBorder="1" applyAlignment="1">
      <alignment horizontal="center" vertical="center" wrapText="1"/>
    </xf>
    <xf numFmtId="49" fontId="4" fillId="36" borderId="39" xfId="0" applyNumberFormat="1" applyFont="1" applyFill="1" applyBorder="1" applyAlignment="1">
      <alignment horizontal="center" vertical="center" wrapText="1"/>
    </xf>
    <xf numFmtId="49" fontId="4" fillId="36" borderId="40" xfId="0" applyNumberFormat="1" applyFont="1" applyFill="1" applyBorder="1" applyAlignment="1">
      <alignment horizontal="center" vertical="center" wrapText="1"/>
    </xf>
    <xf numFmtId="49" fontId="4" fillId="40" borderId="36" xfId="0" applyNumberFormat="1" applyFont="1" applyFill="1" applyBorder="1" applyAlignment="1">
      <alignment horizontal="center" vertical="center" wrapText="1"/>
    </xf>
    <xf numFmtId="49" fontId="4" fillId="40" borderId="38" xfId="0" applyNumberFormat="1" applyFont="1" applyFill="1" applyBorder="1" applyAlignment="1">
      <alignment horizontal="center" vertical="center" wrapText="1"/>
    </xf>
    <xf numFmtId="0" fontId="7" fillId="34" borderId="41" xfId="48" applyFont="1" applyFill="1" applyBorder="1" applyAlignment="1">
      <alignment horizontal="center" wrapText="1"/>
      <protection/>
    </xf>
    <xf numFmtId="0" fontId="0" fillId="0" borderId="42" xfId="49" applyBorder="1" applyAlignment="1">
      <alignment horizontal="center" wrapText="1"/>
      <protection/>
    </xf>
    <xf numFmtId="0" fontId="0" fillId="0" borderId="43" xfId="49" applyBorder="1" applyAlignment="1">
      <alignment horizontal="center" wrapText="1"/>
      <protection/>
    </xf>
    <xf numFmtId="0" fontId="7" fillId="34" borderId="44" xfId="48" applyFont="1" applyFill="1" applyBorder="1" applyAlignment="1">
      <alignment horizontal="center" wrapText="1"/>
      <protection/>
    </xf>
    <xf numFmtId="0" fontId="7" fillId="34" borderId="45" xfId="48" applyFont="1" applyFill="1" applyBorder="1" applyAlignment="1">
      <alignment horizontal="center" wrapText="1"/>
      <protection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allaad 2" xfId="45"/>
    <cellStyle name="Normaallaad 3" xfId="46"/>
    <cellStyle name="Normaallaad 4" xfId="47"/>
    <cellStyle name="Normal 2" xfId="48"/>
    <cellStyle name="Normal 3" xfId="49"/>
    <cellStyle name="Normal_Kuuaruanne 122004 2" xfId="50"/>
    <cellStyle name="Pealkiri" xfId="51"/>
    <cellStyle name="Pealkiri 1" xfId="52"/>
    <cellStyle name="Pealkiri 2" xfId="53"/>
    <cellStyle name="Pealkiri 3" xfId="54"/>
    <cellStyle name="Pealkiri 4" xfId="55"/>
    <cellStyle name="Percent" xfId="56"/>
    <cellStyle name="Rõhk1" xfId="57"/>
    <cellStyle name="Rõhk2" xfId="58"/>
    <cellStyle name="Rõhk3" xfId="59"/>
    <cellStyle name="Rõhk4" xfId="60"/>
    <cellStyle name="Rõhk5" xfId="61"/>
    <cellStyle name="Rõhk6" xfId="62"/>
    <cellStyle name="Selgitav tekst" xfId="63"/>
    <cellStyle name="Sisestus" xfId="64"/>
    <cellStyle name="Style 1" xfId="65"/>
    <cellStyle name="Currency" xfId="66"/>
    <cellStyle name="Currency [0]" xfId="67"/>
    <cellStyle name="Väljund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4\Kuuaruanne%2012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9\Kuuaruanne%2012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9\Kuuaruanne%2003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0\Kuuaruanne%2012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0\Kuuaruanne%2003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1\Kuuaruanne%2012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1\Kuuaruanne%2003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2\Eelarve%20aruanne%202012%20IV%20kv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2\Eelarve%20aruanne%202012%20I%20kv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3\Eelarvearuanne%202013%20IV%20kv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3\Eelarvearuanne%202013%20I%20k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4\Kuuaruanne%200320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4\Kuuaruanne%200620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4\Kuuaruanne%200920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5\Kuuaruanne%2006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5\Kuuaruanne%2009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6\kuuaruanne%2009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7\Kuuaruanne%2006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7\Kuuaruanne%2009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8\Kuuaruanne%2006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8\Kuuaruanne%2009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9\Kuuaruanne%2006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5\Kuuaruanne%201205p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9\Kuuaruanne%200920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0\Kuuaruanne%20062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0\Kuuaruanne%2009201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1\Kuuaruanne%2006201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1\Kuuaruanne%2009201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2\Eelarve%20aruanne%202012%20II%20kv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2\Eelarve%20aruanne%202012%20III%20kv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3\Eelarvearuanne%202013%20II%20kv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3\Eelarvearuanne%202013%20III%20kv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o.rm.sise\kohalikud%20omavalitsused\Anal&#252;&#252;sid%20ja%20prognoosid\Koondn&#228;itajad\KOV%20tulubaasi%20ja%20eraldiste%20v&#245;rdlus%201996%20-2017%201503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5\Kuuaruanne%20030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KOV\KOV%20tulubaasi%20ja%20eraldiste%20v&#245;rdlus%201996%20-2018%2009-04-201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12\Eelarve%20aruanne%202012%20IV%20kv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4\Eelarvearuanne%202014%20I%20kv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06\kuuaruanne%2003200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06\kuuaruanne%20062006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4\Eelarvearuanne%202014%20II%20kv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4\Eelarvearuanne%202014%20III%20kv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KOV\KOV%20tulubaasi%20ja%20eraldiste%20v&#245;rdlus%201996%20-2019%2031-03-201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4\Eelarvearuanne%202014%20IV%20kv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5\Eelarvearuanne%202015%20Ik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6\kuuaruanne%201220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5\Eelarvearuanne%202015%20IIkv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5\Eelarvearuanne%202015%20IIIkv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RMIN\Kasutajad\Andrus.Jogi\personal\ASJAD_ARVUTIST\KOV\Andmed\Kuuaruanded\Kuuaru2015\Eelarvearuanne%202015%20IV%20k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7\Kuuaruanne%2012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7\Kuuaruanne%2003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8\Kuuaruanne%2012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d\Users\andrusj\Desktop\Andmed\Kuuaruanded\Kuuaru2008\Kuuaruanne%20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T-K-F"/>
      <sheetName val="K tegevu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  <sheetName val="kõik"/>
      <sheetName val="tln"/>
      <sheetName val="trt"/>
      <sheetName val="Tulud-finants"/>
      <sheetName val="Ülevaade Overview (2)"/>
    </sheetNames>
    <sheetDataSet>
      <sheetData sheetId="19">
        <row r="13">
          <cell r="H13">
            <v>5544470920.910001</v>
          </cell>
        </row>
        <row r="14">
          <cell r="H14">
            <v>475872443.33</v>
          </cell>
        </row>
        <row r="15">
          <cell r="H15">
            <v>433432.46</v>
          </cell>
        </row>
        <row r="16">
          <cell r="H16">
            <v>0</v>
          </cell>
        </row>
        <row r="17">
          <cell r="H17">
            <v>104190.97</v>
          </cell>
        </row>
        <row r="18">
          <cell r="H18">
            <v>2960620.06</v>
          </cell>
        </row>
        <row r="19">
          <cell r="H19">
            <v>34647771.98</v>
          </cell>
        </row>
        <row r="20">
          <cell r="H20">
            <v>6716837.27</v>
          </cell>
        </row>
        <row r="21">
          <cell r="H21">
            <v>0</v>
          </cell>
        </row>
        <row r="22">
          <cell r="H22">
            <v>49614686.839999996</v>
          </cell>
        </row>
        <row r="24">
          <cell r="H24">
            <v>1405669381.67</v>
          </cell>
        </row>
        <row r="45">
          <cell r="H45">
            <v>568642386.1700001</v>
          </cell>
        </row>
        <row r="68">
          <cell r="H68">
            <v>640530612.4600002</v>
          </cell>
        </row>
        <row r="89">
          <cell r="H89">
            <v>6006762.809999999</v>
          </cell>
        </row>
        <row r="93">
          <cell r="H93">
            <v>933592240</v>
          </cell>
        </row>
        <row r="94">
          <cell r="H94">
            <v>2388224927.79</v>
          </cell>
        </row>
        <row r="96">
          <cell r="H96">
            <v>1542683</v>
          </cell>
        </row>
        <row r="97">
          <cell r="H97">
            <v>1213574.9</v>
          </cell>
        </row>
        <row r="98">
          <cell r="H98">
            <v>19548949.939999998</v>
          </cell>
        </row>
        <row r="99">
          <cell r="H99">
            <v>11363902.600000003</v>
          </cell>
        </row>
        <row r="101">
          <cell r="H101">
            <v>519479227.78999996</v>
          </cell>
        </row>
        <row r="108">
          <cell r="H108">
            <v>196230309.68</v>
          </cell>
        </row>
        <row r="114">
          <cell r="H114">
            <v>121811870.87</v>
          </cell>
        </row>
        <row r="122">
          <cell r="H122">
            <v>47518224.620000005</v>
          </cell>
        </row>
        <row r="127">
          <cell r="H127">
            <v>1207449758.55</v>
          </cell>
        </row>
        <row r="147">
          <cell r="H147">
            <v>34066791.84</v>
          </cell>
        </row>
        <row r="151">
          <cell r="H151">
            <v>5243195966.7300005</v>
          </cell>
        </row>
        <row r="160">
          <cell r="H160">
            <v>4405696443.71</v>
          </cell>
        </row>
        <row r="183">
          <cell r="H183">
            <v>64863362.90000001</v>
          </cell>
        </row>
        <row r="193">
          <cell r="H193">
            <v>143291996.79999998</v>
          </cell>
        </row>
        <row r="199">
          <cell r="H199">
            <v>2014654575.661</v>
          </cell>
        </row>
        <row r="212">
          <cell r="H212">
            <v>-516984101.55</v>
          </cell>
        </row>
        <row r="216">
          <cell r="H216">
            <v>-391497</v>
          </cell>
        </row>
        <row r="217">
          <cell r="H217">
            <v>643036661.22</v>
          </cell>
        </row>
        <row r="221">
          <cell r="H221">
            <v>12951700.32</v>
          </cell>
        </row>
        <row r="222">
          <cell r="H222">
            <v>1244290573.59</v>
          </cell>
        </row>
        <row r="229">
          <cell r="H229">
            <v>-1005159382.9299998</v>
          </cell>
        </row>
        <row r="237">
          <cell r="H237">
            <v>-140415733.22754323</v>
          </cell>
        </row>
      </sheetData>
      <sheetData sheetId="24">
        <row r="28">
          <cell r="F28">
            <v>501178.17949999997</v>
          </cell>
          <cell r="I28">
            <v>743616.1310786129</v>
          </cell>
          <cell r="L28">
            <v>814413.7909575213</v>
          </cell>
          <cell r="O28">
            <v>664263.7953975432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Tegevus"/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Ülevaade kuuliselt"/>
      <sheetName val="Joonised Charts"/>
    </sheetNames>
    <sheetDataSet>
      <sheetData sheetId="21">
        <row r="45">
          <cell r="H45">
            <v>690552443.11</v>
          </cell>
        </row>
        <row r="68">
          <cell r="H68">
            <v>1274072870.8199997</v>
          </cell>
        </row>
        <row r="89">
          <cell r="H89">
            <v>2061794.4900000002</v>
          </cell>
        </row>
        <row r="96">
          <cell r="H96">
            <v>2536788.5400000005</v>
          </cell>
        </row>
        <row r="97">
          <cell r="H97">
            <v>1478532</v>
          </cell>
        </row>
        <row r="98">
          <cell r="H98">
            <v>24375</v>
          </cell>
        </row>
        <row r="99">
          <cell r="H99">
            <v>3081703.24</v>
          </cell>
        </row>
        <row r="108">
          <cell r="H108">
            <v>399949989.37000006</v>
          </cell>
        </row>
        <row r="114">
          <cell r="H114">
            <v>244538208.22000003</v>
          </cell>
        </row>
        <row r="122">
          <cell r="H122">
            <v>100066348.38</v>
          </cell>
        </row>
        <row r="127">
          <cell r="H127">
            <v>2683465992.2900004</v>
          </cell>
        </row>
        <row r="148">
          <cell r="H148">
            <v>310318539.06999993</v>
          </cell>
        </row>
        <row r="187">
          <cell r="H187">
            <v>450087930.03</v>
          </cell>
        </row>
        <row r="199">
          <cell r="H199">
            <v>246664244.07999998</v>
          </cell>
        </row>
        <row r="218">
          <cell r="H218">
            <v>-21961469.68</v>
          </cell>
        </row>
        <row r="222">
          <cell r="H222">
            <v>0</v>
          </cell>
        </row>
        <row r="223">
          <cell r="H223">
            <v>193735432.07999998</v>
          </cell>
        </row>
        <row r="227">
          <cell r="H227">
            <v>2332287.49</v>
          </cell>
        </row>
      </sheetData>
      <sheetData sheetId="22">
        <row r="4">
          <cell r="T4">
            <v>9921455.828</v>
          </cell>
        </row>
        <row r="5">
          <cell r="T5">
            <v>754938.458</v>
          </cell>
        </row>
        <row r="6">
          <cell r="T6">
            <v>147895.95866000003</v>
          </cell>
        </row>
        <row r="7">
          <cell r="T7">
            <v>2177060.803173</v>
          </cell>
        </row>
        <row r="8">
          <cell r="T8">
            <v>1101500</v>
          </cell>
        </row>
        <row r="9">
          <cell r="T9">
            <v>3456117.7449700003</v>
          </cell>
        </row>
        <row r="13">
          <cell r="T13">
            <v>179689.52448000005</v>
          </cell>
        </row>
        <row r="17">
          <cell r="T17">
            <v>8717495.517950004</v>
          </cell>
        </row>
        <row r="18">
          <cell r="T18">
            <v>6087119.9701</v>
          </cell>
        </row>
        <row r="19">
          <cell r="T19">
            <v>3069986.685423</v>
          </cell>
        </row>
        <row r="21">
          <cell r="T21">
            <v>-152432.42122999998</v>
          </cell>
        </row>
        <row r="25">
          <cell r="T25">
            <v>348436.3420999998</v>
          </cell>
        </row>
        <row r="26">
          <cell r="T26">
            <v>674559.29437</v>
          </cell>
        </row>
        <row r="28">
          <cell r="T28">
            <v>1047546.6430599998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Ülevaade kuuliselt"/>
      <sheetName val="Joonised Charts"/>
    </sheetNames>
    <sheetDataSet>
      <sheetData sheetId="19">
        <row r="45">
          <cell r="H45">
            <v>114669356.16000001</v>
          </cell>
        </row>
        <row r="68">
          <cell r="H68">
            <v>165672624.73999998</v>
          </cell>
        </row>
        <row r="89">
          <cell r="H89">
            <v>299794.7</v>
          </cell>
        </row>
        <row r="96">
          <cell r="H96">
            <v>356457.45</v>
          </cell>
        </row>
        <row r="97">
          <cell r="H97">
            <v>611596</v>
          </cell>
        </row>
        <row r="98">
          <cell r="H98">
            <v>35600</v>
          </cell>
        </row>
        <row r="99">
          <cell r="H99">
            <v>282197.08999999997</v>
          </cell>
        </row>
        <row r="101">
          <cell r="H101">
            <v>18194702.15</v>
          </cell>
        </row>
        <row r="108">
          <cell r="H108">
            <v>84579627.95000002</v>
          </cell>
        </row>
        <row r="114">
          <cell r="H114">
            <v>67525386.82</v>
          </cell>
        </row>
        <row r="122">
          <cell r="H122">
            <v>27296395.420000006</v>
          </cell>
        </row>
        <row r="127">
          <cell r="H127">
            <v>598772805.4399999</v>
          </cell>
        </row>
        <row r="148">
          <cell r="H148">
            <v>83930650.49</v>
          </cell>
        </row>
        <row r="187">
          <cell r="H187">
            <v>123227741.82000004</v>
          </cell>
        </row>
        <row r="199">
          <cell r="H199">
            <v>76699690.6</v>
          </cell>
        </row>
        <row r="218">
          <cell r="H218">
            <v>-5020400.33</v>
          </cell>
        </row>
        <row r="222">
          <cell r="H222">
            <v>0</v>
          </cell>
        </row>
        <row r="223">
          <cell r="H223">
            <v>36762586.15</v>
          </cell>
        </row>
        <row r="227">
          <cell r="H227">
            <v>1400278.1600000001</v>
          </cell>
        </row>
      </sheetData>
      <sheetData sheetId="20">
        <row r="4">
          <cell r="T4">
            <v>2692035.658</v>
          </cell>
        </row>
        <row r="5">
          <cell r="T5">
            <v>18846.037</v>
          </cell>
        </row>
        <row r="6">
          <cell r="T6">
            <v>36276.14401</v>
          </cell>
        </row>
        <row r="7">
          <cell r="T7">
            <v>543357.10465</v>
          </cell>
        </row>
        <row r="8">
          <cell r="T8">
            <v>376089.46014</v>
          </cell>
        </row>
        <row r="9">
          <cell r="T9">
            <v>867208.10843</v>
          </cell>
        </row>
        <row r="17">
          <cell r="T17">
            <v>2142065.4386899997</v>
          </cell>
        </row>
        <row r="18">
          <cell r="T18">
            <v>1749326.3421699996</v>
          </cell>
        </row>
        <row r="19">
          <cell r="T19">
            <v>523825.04608000006</v>
          </cell>
        </row>
        <row r="21">
          <cell r="T21">
            <v>-97865.58167</v>
          </cell>
        </row>
        <row r="25">
          <cell r="T25">
            <v>456724.94275000016</v>
          </cell>
        </row>
        <row r="26">
          <cell r="T26">
            <v>-122495.34599000006</v>
          </cell>
        </row>
        <row r="28">
          <cell r="T28">
            <v>1844672.85846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Tegevus"/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Joonised Charts"/>
      <sheetName val="Ülevaade kuuliselt"/>
    </sheetNames>
    <sheetDataSet>
      <sheetData sheetId="21">
        <row r="45">
          <cell r="H45">
            <v>716475009.4799999</v>
          </cell>
        </row>
        <row r="68">
          <cell r="H68">
            <v>1314564022.6</v>
          </cell>
        </row>
        <row r="89">
          <cell r="H89">
            <v>6906241.56</v>
          </cell>
        </row>
        <row r="96">
          <cell r="H96">
            <v>2231357.5</v>
          </cell>
        </row>
        <row r="97">
          <cell r="H97">
            <v>1455328.9</v>
          </cell>
        </row>
        <row r="98">
          <cell r="H98">
            <v>1252869.75</v>
          </cell>
        </row>
        <row r="99">
          <cell r="H99">
            <v>8464145.430000002</v>
          </cell>
        </row>
        <row r="108">
          <cell r="H108">
            <v>471692379.90000004</v>
          </cell>
        </row>
        <row r="114">
          <cell r="H114">
            <v>272580390.59000003</v>
          </cell>
        </row>
        <row r="122">
          <cell r="H122">
            <v>72422929.82999998</v>
          </cell>
        </row>
        <row r="127">
          <cell r="H127">
            <v>2723140516.7216997</v>
          </cell>
        </row>
        <row r="148">
          <cell r="H148">
            <v>385889988.05999994</v>
          </cell>
        </row>
        <row r="187">
          <cell r="H187">
            <v>355041887.38</v>
          </cell>
        </row>
        <row r="199">
          <cell r="H199">
            <v>272117299.36</v>
          </cell>
        </row>
        <row r="218">
          <cell r="H218">
            <v>-43773637.16999999</v>
          </cell>
        </row>
        <row r="222">
          <cell r="H222">
            <v>-5600374.78</v>
          </cell>
        </row>
        <row r="223">
          <cell r="H223">
            <v>41526913.120000005</v>
          </cell>
        </row>
        <row r="227">
          <cell r="H227">
            <v>5805040.15</v>
          </cell>
        </row>
      </sheetData>
      <sheetData sheetId="22">
        <row r="4">
          <cell r="W4">
            <v>9148519.404</v>
          </cell>
        </row>
        <row r="5">
          <cell r="W5">
            <v>802775.217</v>
          </cell>
        </row>
        <row r="6">
          <cell r="W6">
            <v>222671.30331999998</v>
          </cell>
        </row>
        <row r="7">
          <cell r="W7">
            <v>2176502.97948</v>
          </cell>
        </row>
        <row r="8">
          <cell r="W8">
            <v>1101615.5283499998</v>
          </cell>
        </row>
        <row r="9">
          <cell r="W9">
            <v>3602920.564</v>
          </cell>
        </row>
        <row r="13">
          <cell r="W13">
            <v>222153.28668</v>
          </cell>
        </row>
        <row r="17">
          <cell r="W17">
            <v>8241492.890050002</v>
          </cell>
        </row>
        <row r="18">
          <cell r="W18">
            <v>5833486.4365</v>
          </cell>
        </row>
        <row r="19">
          <cell r="W19">
            <v>2123256.6808599997</v>
          </cell>
        </row>
        <row r="21">
          <cell r="W21">
            <v>89130.12579</v>
          </cell>
        </row>
        <row r="25">
          <cell r="W25">
            <v>-101806.35023000074</v>
          </cell>
        </row>
        <row r="26">
          <cell r="W26">
            <v>-309163.90841999976</v>
          </cell>
        </row>
        <row r="28">
          <cell r="W28">
            <v>1356605.42119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Joonised Charts"/>
      <sheetName val="Ülevaade kuuliselt"/>
    </sheetNames>
    <sheetDataSet>
      <sheetData sheetId="19">
        <row r="45">
          <cell r="H45">
            <v>127791713.66</v>
          </cell>
        </row>
        <row r="68">
          <cell r="H68">
            <v>384282333.56</v>
          </cell>
        </row>
        <row r="89">
          <cell r="H89">
            <v>351898.24</v>
          </cell>
        </row>
        <row r="96">
          <cell r="H96">
            <v>509160.31</v>
          </cell>
        </row>
        <row r="97">
          <cell r="H97">
            <v>578520.4</v>
          </cell>
        </row>
        <row r="98">
          <cell r="H98">
            <v>42000</v>
          </cell>
        </row>
        <row r="99">
          <cell r="H99">
            <v>935675.84</v>
          </cell>
        </row>
        <row r="101">
          <cell r="H101">
            <v>16106639.159999998</v>
          </cell>
        </row>
        <row r="108">
          <cell r="H108">
            <v>72606138.89999999</v>
          </cell>
        </row>
        <row r="114">
          <cell r="H114">
            <v>67100414.650000006</v>
          </cell>
        </row>
        <row r="122">
          <cell r="H122">
            <v>18153482.95</v>
          </cell>
        </row>
        <row r="127">
          <cell r="H127">
            <v>681275065.9799999</v>
          </cell>
        </row>
        <row r="148">
          <cell r="H148">
            <v>110131461.24</v>
          </cell>
        </row>
        <row r="187">
          <cell r="H187">
            <v>90924587.43999995</v>
          </cell>
        </row>
        <row r="199">
          <cell r="H199">
            <v>49955442.199999996</v>
          </cell>
        </row>
        <row r="218">
          <cell r="H218">
            <v>-18122630.5</v>
          </cell>
        </row>
        <row r="222">
          <cell r="H222">
            <v>0</v>
          </cell>
        </row>
        <row r="223">
          <cell r="H223">
            <v>42079101.660000004</v>
          </cell>
        </row>
        <row r="227">
          <cell r="H227">
            <v>1981050.0199999998</v>
          </cell>
        </row>
      </sheetData>
      <sheetData sheetId="20">
        <row r="4">
          <cell r="W4">
            <v>2260380.026</v>
          </cell>
        </row>
        <row r="5">
          <cell r="W5">
            <v>22057.653</v>
          </cell>
        </row>
        <row r="6">
          <cell r="W6">
            <v>30642.42295</v>
          </cell>
        </row>
        <row r="7">
          <cell r="W7">
            <v>539960.537232</v>
          </cell>
        </row>
        <row r="8">
          <cell r="W8">
            <v>344329.0272</v>
          </cell>
        </row>
        <row r="9">
          <cell r="W9">
            <v>889280.76693</v>
          </cell>
        </row>
        <row r="17">
          <cell r="W17">
            <v>2026098.0203000011</v>
          </cell>
        </row>
        <row r="18">
          <cell r="W18">
            <v>1590744.7157700008</v>
          </cell>
        </row>
        <row r="19">
          <cell r="W19">
            <v>471983.2679999999</v>
          </cell>
        </row>
        <row r="21">
          <cell r="W21">
            <v>-31751.132670000003</v>
          </cell>
        </row>
        <row r="25">
          <cell r="W25">
            <v>181051.14527000033</v>
          </cell>
        </row>
        <row r="26">
          <cell r="W26">
            <v>29716.619599999933</v>
          </cell>
        </row>
        <row r="28">
          <cell r="W28">
            <v>1017819.7285600003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Tegevus"/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Joonised Charts"/>
      <sheetName val="Ülevaade kuuliselt"/>
    </sheetNames>
    <sheetDataSet>
      <sheetData sheetId="21">
        <row r="45">
          <cell r="H45">
            <v>47750671.87</v>
          </cell>
        </row>
        <row r="68">
          <cell r="H68">
            <v>92150656.07000001</v>
          </cell>
        </row>
        <row r="89">
          <cell r="H89">
            <v>519095.56000000006</v>
          </cell>
        </row>
        <row r="96">
          <cell r="H96">
            <v>71234.67</v>
          </cell>
        </row>
        <row r="97">
          <cell r="H97">
            <v>67553.79</v>
          </cell>
        </row>
        <row r="98">
          <cell r="H98">
            <v>67140.14</v>
          </cell>
        </row>
        <row r="99">
          <cell r="H99">
            <v>174193.14</v>
          </cell>
        </row>
        <row r="101">
          <cell r="H101">
            <v>12097412.589999998</v>
          </cell>
        </row>
        <row r="108">
          <cell r="H108">
            <v>25912457</v>
          </cell>
        </row>
        <row r="114">
          <cell r="H114">
            <v>18095458.78</v>
          </cell>
        </row>
        <row r="122">
          <cell r="H122">
            <v>5202227.9860000005</v>
          </cell>
        </row>
        <row r="127">
          <cell r="H127">
            <v>185715862.20700005</v>
          </cell>
        </row>
        <row r="148">
          <cell r="H148">
            <v>29163013.259999994</v>
          </cell>
        </row>
        <row r="187">
          <cell r="H187">
            <v>25579608.16</v>
          </cell>
        </row>
        <row r="199">
          <cell r="H199">
            <v>17421896.48</v>
          </cell>
        </row>
        <row r="218">
          <cell r="H218">
            <v>-4894835.430000001</v>
          </cell>
        </row>
        <row r="219">
          <cell r="H219">
            <v>-2243753.22</v>
          </cell>
        </row>
        <row r="220">
          <cell r="H220">
            <v>-14062.4</v>
          </cell>
        </row>
        <row r="221">
          <cell r="H221">
            <v>-2637019.809999999</v>
          </cell>
        </row>
        <row r="222">
          <cell r="H222">
            <v>0</v>
          </cell>
        </row>
        <row r="223">
          <cell r="H223">
            <v>3440104.46</v>
          </cell>
        </row>
        <row r="224">
          <cell r="H224">
            <v>2300052.6</v>
          </cell>
        </row>
        <row r="225">
          <cell r="H225">
            <v>0</v>
          </cell>
        </row>
        <row r="226">
          <cell r="H226">
            <v>1021903.9700000001</v>
          </cell>
        </row>
        <row r="227">
          <cell r="H227">
            <v>118147.89</v>
          </cell>
        </row>
        <row r="228">
          <cell r="H228">
            <v>66047338.010000005</v>
          </cell>
        </row>
        <row r="235">
          <cell r="H235">
            <v>-71458345.81</v>
          </cell>
        </row>
        <row r="243">
          <cell r="H243">
            <v>-22093813.145695094</v>
          </cell>
        </row>
        <row r="358">
          <cell r="H358">
            <v>1439025.37</v>
          </cell>
        </row>
      </sheetData>
      <sheetData sheetId="22">
        <row r="4">
          <cell r="Z4">
            <v>618539390</v>
          </cell>
        </row>
        <row r="5">
          <cell r="Z5">
            <v>51467186.5</v>
          </cell>
        </row>
        <row r="6">
          <cell r="Z6">
            <v>25508416.46</v>
          </cell>
        </row>
        <row r="7">
          <cell r="Z7">
            <v>144042565.07999998</v>
          </cell>
        </row>
        <row r="8">
          <cell r="Z8">
            <v>72780592.42999999</v>
          </cell>
        </row>
        <row r="9">
          <cell r="Z9">
            <v>227634663.09</v>
          </cell>
        </row>
        <row r="17">
          <cell r="Z17">
            <v>528660624.78000003</v>
          </cell>
        </row>
        <row r="18">
          <cell r="Z18">
            <v>402042818.59399986</v>
          </cell>
        </row>
        <row r="19">
          <cell r="Z19">
            <v>137044119.61</v>
          </cell>
        </row>
        <row r="21">
          <cell r="Z21">
            <v>1439025.37</v>
          </cell>
        </row>
        <row r="25">
          <cell r="Z25">
            <v>-5411007.799999997</v>
          </cell>
        </row>
        <row r="26">
          <cell r="Z26">
            <v>-22093813.145695094</v>
          </cell>
        </row>
        <row r="28">
          <cell r="Z28">
            <v>108797191.08569507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Joonised Charts"/>
      <sheetName val="Ülevaade kuuliselt"/>
    </sheetNames>
    <sheetDataSet>
      <sheetData sheetId="19">
        <row r="45">
          <cell r="H45">
            <v>9154744.971</v>
          </cell>
        </row>
        <row r="68">
          <cell r="H68">
            <v>23210613.099999998</v>
          </cell>
        </row>
        <row r="89">
          <cell r="H89">
            <v>40004.3</v>
          </cell>
        </row>
        <row r="96">
          <cell r="H96">
            <v>37214.67</v>
          </cell>
        </row>
        <row r="97">
          <cell r="H97">
            <v>25374.250000000004</v>
          </cell>
        </row>
        <row r="98">
          <cell r="H98">
            <v>20439.94</v>
          </cell>
        </row>
        <row r="99">
          <cell r="H99">
            <v>17418.179999999997</v>
          </cell>
        </row>
        <row r="101">
          <cell r="H101">
            <v>4005846.3100000005</v>
          </cell>
        </row>
        <row r="108">
          <cell r="H108">
            <v>4137788.520000001</v>
          </cell>
        </row>
        <row r="114">
          <cell r="H114">
            <v>3969072.9900000007</v>
          </cell>
        </row>
        <row r="122">
          <cell r="H122">
            <v>1062216.2499999998</v>
          </cell>
        </row>
        <row r="127">
          <cell r="H127">
            <v>46330877.49000002</v>
          </cell>
        </row>
        <row r="148">
          <cell r="H148">
            <v>5901944.14</v>
          </cell>
        </row>
        <row r="187">
          <cell r="H187">
            <v>5730120.119999999</v>
          </cell>
        </row>
        <row r="199">
          <cell r="H199">
            <v>4619471.810000001</v>
          </cell>
        </row>
        <row r="218">
          <cell r="H218">
            <v>-1645717.44</v>
          </cell>
        </row>
        <row r="222">
          <cell r="H222">
            <v>0</v>
          </cell>
        </row>
        <row r="223">
          <cell r="H223">
            <v>2378244.8900000006</v>
          </cell>
        </row>
        <row r="227">
          <cell r="H227">
            <v>3602.02</v>
          </cell>
        </row>
      </sheetData>
      <sheetData sheetId="20">
        <row r="4">
          <cell r="Z4">
            <v>150666624</v>
          </cell>
        </row>
        <row r="5">
          <cell r="Z5">
            <v>346760</v>
          </cell>
        </row>
        <row r="6">
          <cell r="Z6">
            <v>6500463.319999999</v>
          </cell>
        </row>
        <row r="7">
          <cell r="Z7">
            <v>34988173.67000001</v>
          </cell>
        </row>
        <row r="8">
          <cell r="Z8">
            <v>21073633.67</v>
          </cell>
        </row>
        <row r="9">
          <cell r="Z9">
            <v>59662011.760000005</v>
          </cell>
        </row>
        <row r="17">
          <cell r="Z17">
            <v>127638347.52000004</v>
          </cell>
        </row>
        <row r="18">
          <cell r="Z18">
            <v>111865274.06</v>
          </cell>
        </row>
        <row r="19">
          <cell r="Z19">
            <v>18206292.109999996</v>
          </cell>
        </row>
        <row r="21">
          <cell r="Z21">
            <v>-4163575.83</v>
          </cell>
        </row>
        <row r="25">
          <cell r="Z25">
            <v>-4949240.100000003</v>
          </cell>
        </row>
        <row r="26">
          <cell r="Z26">
            <v>7821344.683304863</v>
          </cell>
        </row>
        <row r="28">
          <cell r="Z28">
            <v>78881532.55669513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Kontroll"/>
      <sheetName val="Tallinn"/>
      <sheetName val="Harju"/>
      <sheetName val="Hiiu"/>
      <sheetName val="I-Viru"/>
      <sheetName val="Jõgeva"/>
      <sheetName val="Järva"/>
      <sheetName val="Lääne"/>
      <sheetName val="L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8">
        <row r="163">
          <cell r="E163">
            <v>111865370.17000002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Kontroll"/>
      <sheetName val="Tallinn"/>
      <sheetName val="Harju"/>
      <sheetName val="Hiiu"/>
      <sheetName val="I-Viru"/>
      <sheetName val="Jõgeva"/>
      <sheetName val="Järva"/>
      <sheetName val="Lääne"/>
      <sheetName val="L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9">
        <row r="4">
          <cell r="AA4">
            <v>162900118.13</v>
          </cell>
        </row>
        <row r="5">
          <cell r="AA5">
            <v>439254.26</v>
          </cell>
        </row>
        <row r="6">
          <cell r="AA6">
            <v>2460537.59</v>
          </cell>
        </row>
        <row r="7">
          <cell r="AA7">
            <v>43667377.73</v>
          </cell>
        </row>
        <row r="9">
          <cell r="AA9">
            <v>20679018.52</v>
          </cell>
        </row>
        <row r="10">
          <cell r="AA10">
            <v>55051225.68</v>
          </cell>
        </row>
        <row r="11">
          <cell r="AA11">
            <v>22930784.439999998</v>
          </cell>
        </row>
        <row r="12">
          <cell r="AA12">
            <v>5545448.91</v>
          </cell>
        </row>
        <row r="14">
          <cell r="AA14">
            <v>35480354.81157001</v>
          </cell>
        </row>
        <row r="15">
          <cell r="AA15">
            <v>129999882.6900001</v>
          </cell>
        </row>
        <row r="16">
          <cell r="AA16">
            <v>105617256.88999997</v>
          </cell>
        </row>
        <row r="17">
          <cell r="AA17">
            <v>6396267.960000001</v>
          </cell>
        </row>
        <row r="20">
          <cell r="AA20">
            <v>2351525.84</v>
          </cell>
        </row>
        <row r="21">
          <cell r="AA21">
            <v>-27623509.269999996</v>
          </cell>
        </row>
        <row r="22">
          <cell r="AA22">
            <v>22640118.23</v>
          </cell>
        </row>
        <row r="23">
          <cell r="AA23">
            <v>-7060577.1099999985</v>
          </cell>
        </row>
        <row r="24">
          <cell r="AA24">
            <v>-221353.63</v>
          </cell>
        </row>
        <row r="25">
          <cell r="AA25">
            <v>-944.2700000000004</v>
          </cell>
        </row>
        <row r="26">
          <cell r="AA26">
            <v>168984.49999999997</v>
          </cell>
        </row>
        <row r="27">
          <cell r="AA27">
            <v>-5468325.919999999</v>
          </cell>
        </row>
        <row r="29">
          <cell r="AA29">
            <v>-5497536.050000001</v>
          </cell>
        </row>
        <row r="30">
          <cell r="AA30">
            <v>4680538.560000002</v>
          </cell>
        </row>
        <row r="31">
          <cell r="AA31">
            <v>-10787846.670000002</v>
          </cell>
        </row>
        <row r="34">
          <cell r="AA34">
            <v>113504388.59000002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6">
        <row r="19">
          <cell r="E19">
            <v>21736509.37</v>
          </cell>
        </row>
        <row r="40">
          <cell r="E40">
            <v>9836438.48</v>
          </cell>
        </row>
        <row r="41">
          <cell r="E41">
            <v>-12099509.5</v>
          </cell>
        </row>
        <row r="42">
          <cell r="E42">
            <v>1182.72</v>
          </cell>
        </row>
        <row r="43">
          <cell r="E43">
            <v>-554953</v>
          </cell>
        </row>
        <row r="44">
          <cell r="E44">
            <v>159955.74</v>
          </cell>
        </row>
        <row r="45">
          <cell r="E45">
            <v>-5192007.12</v>
          </cell>
        </row>
        <row r="46">
          <cell r="E46">
            <v>2782046.38</v>
          </cell>
        </row>
        <row r="51">
          <cell r="E51">
            <v>-75273202.40999997</v>
          </cell>
        </row>
        <row r="56">
          <cell r="E56">
            <v>137298030.85</v>
          </cell>
        </row>
        <row r="63">
          <cell r="E63">
            <v>10598.75</v>
          </cell>
        </row>
        <row r="64">
          <cell r="E64">
            <v>5100063.989999999</v>
          </cell>
        </row>
        <row r="68">
          <cell r="E68">
            <v>270499854.62000006</v>
          </cell>
        </row>
        <row r="85">
          <cell r="E85">
            <v>54218479.81000001</v>
          </cell>
        </row>
        <row r="91">
          <cell r="E91">
            <v>102087284.86000001</v>
          </cell>
        </row>
        <row r="98">
          <cell r="E98">
            <v>10834593.14</v>
          </cell>
        </row>
        <row r="105">
          <cell r="E105">
            <v>202498624.37000003</v>
          </cell>
        </row>
        <row r="129">
          <cell r="E129">
            <v>655517987.7499999</v>
          </cell>
        </row>
        <row r="145">
          <cell r="E145">
            <v>124538644.29</v>
          </cell>
        </row>
      </sheetData>
      <sheetData sheetId="17">
        <row r="4">
          <cell r="X4">
            <v>618539390</v>
          </cell>
          <cell r="AA4">
            <v>665189931.11</v>
          </cell>
          <cell r="AD4">
            <v>725750958.74</v>
          </cell>
        </row>
        <row r="5">
          <cell r="X5">
            <v>51467186.5</v>
          </cell>
          <cell r="AA5">
            <v>58584952.88999999</v>
          </cell>
          <cell r="AD5">
            <v>57556211.46000001</v>
          </cell>
        </row>
        <row r="6">
          <cell r="X6">
            <v>25508416.46</v>
          </cell>
          <cell r="AA6">
            <v>9985198.219999999</v>
          </cell>
          <cell r="AD6">
            <v>10932008.95</v>
          </cell>
        </row>
        <row r="7">
          <cell r="X7">
            <v>144042565.07999998</v>
          </cell>
          <cell r="AA7">
            <v>157005174.73000005</v>
          </cell>
          <cell r="AD7">
            <v>149230575.44</v>
          </cell>
        </row>
        <row r="9">
          <cell r="X9">
            <v>72780592.42999999</v>
          </cell>
          <cell r="AA9">
            <v>72316029.99</v>
          </cell>
          <cell r="AD9">
            <v>74252136.98</v>
          </cell>
        </row>
        <row r="10">
          <cell r="X10">
            <v>227634663.09</v>
          </cell>
          <cell r="AA10">
            <v>223257251.31</v>
          </cell>
          <cell r="AD10">
            <v>230916815.02</v>
          </cell>
        </row>
        <row r="11">
          <cell r="X11">
            <v>48649889.17</v>
          </cell>
          <cell r="AA11">
            <v>50644423.160000004</v>
          </cell>
          <cell r="AD11">
            <v>61927526.07999998</v>
          </cell>
        </row>
        <row r="12">
          <cell r="X12">
            <v>23297686.766000003</v>
          </cell>
          <cell r="AA12">
            <v>25989388.88000001</v>
          </cell>
          <cell r="AD12">
            <v>21736509.37</v>
          </cell>
        </row>
        <row r="14">
          <cell r="X14">
            <v>156552848.94700006</v>
          </cell>
          <cell r="AA14">
            <v>156129178.57000002</v>
          </cell>
          <cell r="AD14">
            <v>164273521.25999996</v>
          </cell>
        </row>
        <row r="15">
          <cell r="X15">
            <v>528660624.78000003</v>
          </cell>
          <cell r="AA15">
            <v>539869492.18</v>
          </cell>
          <cell r="AD15">
            <v>585775395.6200002</v>
          </cell>
        </row>
        <row r="16">
          <cell r="X16">
            <v>402042818.59399986</v>
          </cell>
          <cell r="AA16">
            <v>417326366.37999994</v>
          </cell>
          <cell r="AD16">
            <v>438964756.60999995</v>
          </cell>
        </row>
        <row r="17">
          <cell r="X17">
            <v>25579608.16</v>
          </cell>
          <cell r="AA17">
            <v>31017198.810000006</v>
          </cell>
          <cell r="AD17">
            <v>22448868.959999986</v>
          </cell>
        </row>
        <row r="20">
          <cell r="X20">
            <v>12097412.589999998</v>
          </cell>
          <cell r="AA20">
            <v>9929027.849999998</v>
          </cell>
          <cell r="AD20">
            <v>11923164.829999996</v>
          </cell>
        </row>
        <row r="21">
          <cell r="X21">
            <v>-137044119.61</v>
          </cell>
          <cell r="AA21">
            <v>-217605850.89000002</v>
          </cell>
          <cell r="AD21">
            <v>-277637535.93</v>
          </cell>
        </row>
        <row r="22">
          <cell r="X22">
            <v>92150656.07000001</v>
          </cell>
          <cell r="AA22">
            <v>138330031.19000003</v>
          </cell>
          <cell r="AD22">
            <v>132811403.76000005</v>
          </cell>
        </row>
        <row r="23">
          <cell r="X23">
            <v>-29163013.259999994</v>
          </cell>
          <cell r="AA23">
            <v>-42489353.33</v>
          </cell>
          <cell r="AD23">
            <v>-42635017.80000001</v>
          </cell>
        </row>
        <row r="24">
          <cell r="AA24">
            <v>-192766.00999999978</v>
          </cell>
          <cell r="AD24">
            <v>-2816841.2999999993</v>
          </cell>
        </row>
        <row r="25">
          <cell r="AA25">
            <v>-480073.65</v>
          </cell>
          <cell r="AD25">
            <v>-5032051.38</v>
          </cell>
        </row>
        <row r="26">
          <cell r="X26">
            <v>7816998.219999999</v>
          </cell>
          <cell r="AA26">
            <v>8654377.39</v>
          </cell>
          <cell r="AD26">
            <v>2782046.38</v>
          </cell>
        </row>
        <row r="27">
          <cell r="X27">
            <v>-17421896.48</v>
          </cell>
          <cell r="AA27">
            <v>-16682430.770000001</v>
          </cell>
          <cell r="AD27">
            <v>-13022596.63</v>
          </cell>
        </row>
        <row r="28">
          <cell r="C28">
            <v>-6309067.620505482</v>
          </cell>
          <cell r="D28">
            <v>-39075201.200260594</v>
          </cell>
          <cell r="E28">
            <v>-46786222.77491614</v>
          </cell>
          <cell r="F28">
            <v>-21187208.563777298</v>
          </cell>
          <cell r="G28">
            <v>-54189210.2622934</v>
          </cell>
          <cell r="H28">
            <v>-90232461.23311156</v>
          </cell>
          <cell r="I28">
            <v>-11892518.081666157</v>
          </cell>
          <cell r="J28">
            <v>-68368471.60661106</v>
          </cell>
          <cell r="K28">
            <v>-76361621.14836471</v>
          </cell>
          <cell r="L28">
            <v>-15788727.978155077</v>
          </cell>
          <cell r="M28">
            <v>-80479164.18582964</v>
          </cell>
          <cell r="N28">
            <v>-92233616.47003195</v>
          </cell>
          <cell r="O28">
            <v>-74431002.33021843</v>
          </cell>
          <cell r="P28">
            <v>-126903170.56740767</v>
          </cell>
          <cell r="Q28">
            <v>-145673582.61123815</v>
          </cell>
          <cell r="R28">
            <v>-55639130.241714135</v>
          </cell>
          <cell r="S28">
            <v>-111619761.51751769</v>
          </cell>
          <cell r="T28">
            <v>-115469337.27902576</v>
          </cell>
          <cell r="U28">
            <v>20569333.456360787</v>
          </cell>
          <cell r="V28">
            <v>-42590346.96867065</v>
          </cell>
          <cell r="W28">
            <v>-46461029.202318534</v>
          </cell>
          <cell r="X28">
            <v>26065795.57499987</v>
          </cell>
          <cell r="Y28">
            <v>-45008213.91299996</v>
          </cell>
          <cell r="Z28">
            <v>-53130856.66599989</v>
          </cell>
          <cell r="AA28">
            <v>-1906923.8699996173</v>
          </cell>
          <cell r="AB28">
            <v>-81112808.31426233</v>
          </cell>
          <cell r="AC28">
            <v>-93243495.12793016</v>
          </cell>
          <cell r="AD28">
            <v>-72787228.48000032</v>
          </cell>
          <cell r="AE28">
            <v>-126647492.43999982</v>
          </cell>
          <cell r="AF28">
            <v>-149460376.55999994</v>
          </cell>
        </row>
        <row r="29">
          <cell r="AA29">
            <v>-1203486.390000001</v>
          </cell>
          <cell r="AD29">
            <v>58598031.94000003</v>
          </cell>
        </row>
        <row r="30">
          <cell r="AA30">
            <v>3054650.270000007</v>
          </cell>
          <cell r="AD30">
            <v>-13113131.560000002</v>
          </cell>
        </row>
        <row r="31">
          <cell r="AA31">
            <v>6165060.529999999</v>
          </cell>
          <cell r="AD31">
            <v>1076064.9799993138</v>
          </cell>
        </row>
        <row r="34">
          <cell r="AD34">
            <v>98702108.01999998</v>
          </cell>
        </row>
        <row r="39">
          <cell r="AD39">
            <v>1489816933.95</v>
          </cell>
        </row>
        <row r="40">
          <cell r="AD40">
            <v>1562604162.4300005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6">
        <row r="4">
          <cell r="AD4">
            <v>177195681.63</v>
          </cell>
        </row>
        <row r="5">
          <cell r="AD5">
            <v>23815.58999999998</v>
          </cell>
        </row>
        <row r="6">
          <cell r="AD6">
            <v>2699017.14</v>
          </cell>
        </row>
        <row r="7">
          <cell r="AD7">
            <v>37755940.480000004</v>
          </cell>
        </row>
        <row r="9">
          <cell r="AD9">
            <v>59499094.83999999</v>
          </cell>
        </row>
        <row r="10">
          <cell r="AD10">
            <v>30257969.200000003</v>
          </cell>
        </row>
        <row r="11">
          <cell r="AD11">
            <v>25340087.66</v>
          </cell>
        </row>
        <row r="12">
          <cell r="AD12">
            <v>5818491.609999999</v>
          </cell>
        </row>
        <row r="14">
          <cell r="AD14">
            <v>42739083.59000001</v>
          </cell>
        </row>
        <row r="15">
          <cell r="AD15">
            <v>135389304.96000004</v>
          </cell>
        </row>
        <row r="16">
          <cell r="AD16">
            <v>114191294.88</v>
          </cell>
        </row>
        <row r="17">
          <cell r="AD17">
            <v>5569278.240000002</v>
          </cell>
        </row>
        <row r="20">
          <cell r="AD20">
            <v>2543810.8300000005</v>
          </cell>
        </row>
        <row r="21">
          <cell r="AD21">
            <v>-34690306.64</v>
          </cell>
        </row>
        <row r="22">
          <cell r="AD22">
            <v>31067107.429999992</v>
          </cell>
        </row>
        <row r="23">
          <cell r="AD23">
            <v>-4282327.2</v>
          </cell>
        </row>
        <row r="24">
          <cell r="AD24">
            <v>-1794264</v>
          </cell>
        </row>
        <row r="25">
          <cell r="AD25">
            <v>-87295.96</v>
          </cell>
        </row>
        <row r="26">
          <cell r="AD26">
            <v>94006.35000000002</v>
          </cell>
        </row>
        <row r="27">
          <cell r="AD27">
            <v>-3442972.22</v>
          </cell>
        </row>
        <row r="29">
          <cell r="AD29">
            <v>-3007917.540000001</v>
          </cell>
        </row>
        <row r="30">
          <cell r="AD30">
            <v>17453341.439999998</v>
          </cell>
        </row>
        <row r="31">
          <cell r="AD31">
            <v>-9647636.090000011</v>
          </cell>
        </row>
        <row r="34">
          <cell r="AD34">
            <v>124541726.24000001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</sheetNames>
    <sheetDataSet>
      <sheetData sheetId="17">
        <row r="13">
          <cell r="H13">
            <v>1315523719</v>
          </cell>
        </row>
        <row r="14">
          <cell r="H14">
            <v>48011120</v>
          </cell>
        </row>
        <row r="15">
          <cell r="H15">
            <v>269851.48</v>
          </cell>
        </row>
        <row r="16">
          <cell r="H16">
            <v>0</v>
          </cell>
        </row>
        <row r="17">
          <cell r="H17">
            <v>24810</v>
          </cell>
        </row>
        <row r="18">
          <cell r="H18">
            <v>714408.22</v>
          </cell>
        </row>
        <row r="19">
          <cell r="H19">
            <v>8217719.5</v>
          </cell>
        </row>
        <row r="20">
          <cell r="H20">
            <v>1000264.75</v>
          </cell>
        </row>
        <row r="21">
          <cell r="H21">
            <v>0</v>
          </cell>
        </row>
        <row r="22">
          <cell r="H22">
            <v>12058291.34</v>
          </cell>
        </row>
        <row r="24">
          <cell r="H24">
            <v>340410285.76</v>
          </cell>
        </row>
        <row r="45">
          <cell r="H45">
            <v>105212536.65</v>
          </cell>
        </row>
        <row r="68">
          <cell r="H68">
            <v>51986139.35000001</v>
          </cell>
        </row>
        <row r="89">
          <cell r="H89">
            <v>1813905.0099999998</v>
          </cell>
        </row>
        <row r="93">
          <cell r="H93">
            <v>254115933.47</v>
          </cell>
        </row>
        <row r="94">
          <cell r="H94">
            <v>528052305.76</v>
          </cell>
        </row>
        <row r="96">
          <cell r="H96">
            <v>550230</v>
          </cell>
        </row>
        <row r="97">
          <cell r="H97">
            <v>454396.97</v>
          </cell>
        </row>
        <row r="98">
          <cell r="H98">
            <v>7813428.99</v>
          </cell>
        </row>
        <row r="99">
          <cell r="H99">
            <v>4160048.7299999995</v>
          </cell>
        </row>
        <row r="101">
          <cell r="H101">
            <v>51726492.05</v>
          </cell>
        </row>
        <row r="108">
          <cell r="H108">
            <v>33137355.08</v>
          </cell>
        </row>
        <row r="114">
          <cell r="H114">
            <v>29638847.759999994</v>
          </cell>
        </row>
        <row r="122">
          <cell r="H122">
            <v>21874518.86</v>
          </cell>
        </row>
        <row r="127">
          <cell r="H127">
            <v>334218864.21999997</v>
          </cell>
        </row>
        <row r="147">
          <cell r="H147">
            <v>3435339</v>
          </cell>
        </row>
        <row r="151">
          <cell r="H151">
            <v>1134107140.28</v>
          </cell>
        </row>
        <row r="160">
          <cell r="H160">
            <v>1058117624.6627167</v>
          </cell>
        </row>
        <row r="183">
          <cell r="H183">
            <v>6862403.550000001</v>
          </cell>
        </row>
        <row r="193">
          <cell r="H193">
            <v>37730354.45999999</v>
          </cell>
        </row>
        <row r="199">
          <cell r="H199">
            <v>205025705.32999998</v>
          </cell>
        </row>
        <row r="212">
          <cell r="H212">
            <v>-53594991.52</v>
          </cell>
        </row>
        <row r="216">
          <cell r="H216">
            <v>-88700</v>
          </cell>
        </row>
        <row r="217">
          <cell r="H217">
            <v>9575593.04</v>
          </cell>
        </row>
        <row r="221">
          <cell r="H221">
            <v>1694632.9600000002</v>
          </cell>
        </row>
        <row r="222">
          <cell r="H222">
            <v>170814395.97999996</v>
          </cell>
        </row>
        <row r="229">
          <cell r="H229">
            <v>-160777918.69</v>
          </cell>
        </row>
        <row r="237">
          <cell r="H237">
            <v>22917252.72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</sheetNames>
    <sheetDataSet>
      <sheetData sheetId="17">
        <row r="13">
          <cell r="H13">
            <v>2574338586.3799996</v>
          </cell>
        </row>
        <row r="14">
          <cell r="H14">
            <v>242683124</v>
          </cell>
        </row>
        <row r="15">
          <cell r="H15">
            <v>333478.08</v>
          </cell>
        </row>
        <row r="16">
          <cell r="H16">
            <v>0</v>
          </cell>
        </row>
        <row r="17">
          <cell r="H17">
            <v>50713.16</v>
          </cell>
        </row>
        <row r="18">
          <cell r="H18">
            <v>1468772.96</v>
          </cell>
        </row>
        <row r="19">
          <cell r="H19">
            <v>17736953.36</v>
          </cell>
        </row>
        <row r="20">
          <cell r="H20">
            <v>2457445.05</v>
          </cell>
        </row>
        <row r="21">
          <cell r="H21">
            <v>0</v>
          </cell>
        </row>
        <row r="22">
          <cell r="H22">
            <v>23729359.83</v>
          </cell>
        </row>
        <row r="24">
          <cell r="H24">
            <v>706241205.16</v>
          </cell>
        </row>
        <row r="45">
          <cell r="H45">
            <v>302019390.72</v>
          </cell>
        </row>
        <row r="68">
          <cell r="H68">
            <v>286387193.55</v>
          </cell>
        </row>
        <row r="89">
          <cell r="H89">
            <v>4189059.72</v>
          </cell>
        </row>
        <row r="93">
          <cell r="H93">
            <v>598331057.5799999</v>
          </cell>
        </row>
        <row r="94">
          <cell r="H94">
            <v>1302836893.56</v>
          </cell>
        </row>
        <row r="96">
          <cell r="H96">
            <v>571729.5</v>
          </cell>
        </row>
        <row r="97">
          <cell r="H97">
            <v>885697.38</v>
          </cell>
        </row>
        <row r="98">
          <cell r="H98">
            <v>13280543.24</v>
          </cell>
        </row>
        <row r="99">
          <cell r="H99">
            <v>6921906.819999999</v>
          </cell>
        </row>
        <row r="101">
          <cell r="H101">
            <v>106045761.19</v>
          </cell>
        </row>
        <row r="108">
          <cell r="H108">
            <v>117918764.16</v>
          </cell>
        </row>
        <row r="114">
          <cell r="H114">
            <v>56473671.550000004</v>
          </cell>
        </row>
        <row r="122">
          <cell r="H122">
            <v>48683146.870000005</v>
          </cell>
        </row>
        <row r="127">
          <cell r="H127">
            <v>641537022.26</v>
          </cell>
        </row>
        <row r="147">
          <cell r="H147">
            <v>13054333.36</v>
          </cell>
        </row>
        <row r="151">
          <cell r="H151">
            <v>2717351054.6200004</v>
          </cell>
        </row>
        <row r="160">
          <cell r="H160">
            <v>2172175748.61</v>
          </cell>
        </row>
        <row r="183">
          <cell r="H183">
            <v>28356696.76</v>
          </cell>
        </row>
        <row r="193">
          <cell r="H193">
            <v>76282828.01</v>
          </cell>
        </row>
        <row r="199">
          <cell r="H199">
            <v>563951069.74</v>
          </cell>
        </row>
        <row r="212">
          <cell r="H212">
            <v>-305576009.33</v>
          </cell>
        </row>
        <row r="216">
          <cell r="H216">
            <v>-138900</v>
          </cell>
        </row>
        <row r="217">
          <cell r="H217">
            <v>254667172.99999997</v>
          </cell>
        </row>
        <row r="221">
          <cell r="H221">
            <v>2443093.77</v>
          </cell>
        </row>
        <row r="222">
          <cell r="H222">
            <v>770094536.5500001</v>
          </cell>
        </row>
        <row r="229">
          <cell r="H229">
            <v>-650133282.6400001</v>
          </cell>
        </row>
        <row r="237">
          <cell r="H237">
            <v>-219640558.84861317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</sheetNames>
    <sheetDataSet>
      <sheetData sheetId="17">
        <row r="13">
          <cell r="H13">
            <v>3989314570.59</v>
          </cell>
        </row>
        <row r="14">
          <cell r="H14">
            <v>341661123</v>
          </cell>
        </row>
        <row r="15">
          <cell r="H15">
            <v>371327.87</v>
          </cell>
        </row>
        <row r="16">
          <cell r="H16">
            <v>0</v>
          </cell>
        </row>
        <row r="17">
          <cell r="H17">
            <v>64546.36</v>
          </cell>
        </row>
        <row r="18">
          <cell r="H18">
            <v>2144220.25</v>
          </cell>
        </row>
        <row r="19">
          <cell r="H19">
            <v>26411378.189999998</v>
          </cell>
        </row>
        <row r="20">
          <cell r="H20">
            <v>4677818.29</v>
          </cell>
        </row>
        <row r="21">
          <cell r="H21">
            <v>0</v>
          </cell>
        </row>
        <row r="22">
          <cell r="H22">
            <v>35009277.03000001</v>
          </cell>
        </row>
        <row r="24">
          <cell r="H24">
            <v>1005913063.17</v>
          </cell>
        </row>
        <row r="45">
          <cell r="H45">
            <v>423989766.46</v>
          </cell>
        </row>
        <row r="68">
          <cell r="H68">
            <v>504904320.87000006</v>
          </cell>
        </row>
        <row r="89">
          <cell r="H89">
            <v>5693614.589999998</v>
          </cell>
        </row>
        <row r="93">
          <cell r="H93">
            <v>798158209.53</v>
          </cell>
        </row>
        <row r="94">
          <cell r="H94">
            <v>1730595886.6399999</v>
          </cell>
        </row>
        <row r="96">
          <cell r="H96">
            <v>848009.35</v>
          </cell>
        </row>
        <row r="97">
          <cell r="H97">
            <v>1146373.0499999998</v>
          </cell>
        </row>
        <row r="98">
          <cell r="H98">
            <v>16949021.02</v>
          </cell>
        </row>
        <row r="99">
          <cell r="H99">
            <v>8367318.920000002</v>
          </cell>
        </row>
        <row r="101">
          <cell r="H101">
            <v>396496147.06</v>
          </cell>
        </row>
        <row r="108">
          <cell r="H108">
            <v>154984417.41999996</v>
          </cell>
        </row>
        <row r="114">
          <cell r="H114">
            <v>87375347.77999997</v>
          </cell>
        </row>
        <row r="122">
          <cell r="H122">
            <v>54175988.12</v>
          </cell>
        </row>
        <row r="127">
          <cell r="H127">
            <v>874595403.9599998</v>
          </cell>
        </row>
        <row r="147">
          <cell r="H147">
            <v>25254815.730000004</v>
          </cell>
        </row>
        <row r="151">
          <cell r="H151">
            <v>3789874408.2799997</v>
          </cell>
        </row>
        <row r="160">
          <cell r="H160">
            <v>3123812888.9500003</v>
          </cell>
        </row>
        <row r="183">
          <cell r="H183">
            <v>44256136.95999999</v>
          </cell>
        </row>
        <row r="193">
          <cell r="H193">
            <v>105262522.97000001</v>
          </cell>
        </row>
        <row r="199">
          <cell r="H199">
            <v>1311630978.99</v>
          </cell>
        </row>
        <row r="212">
          <cell r="H212">
            <v>-486292856.55</v>
          </cell>
        </row>
        <row r="216">
          <cell r="H216">
            <v>-164200</v>
          </cell>
        </row>
        <row r="217">
          <cell r="H217">
            <v>431001893.35</v>
          </cell>
        </row>
        <row r="221">
          <cell r="H221">
            <v>12461771.83</v>
          </cell>
        </row>
        <row r="222">
          <cell r="H222">
            <v>970010635.1200001</v>
          </cell>
        </row>
        <row r="229">
          <cell r="H229">
            <v>-879591430.9499998</v>
          </cell>
        </row>
        <row r="237">
          <cell r="H237">
            <v>-287572298.63752127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Lääne"/>
      <sheetName val="Lääne-Viru"/>
      <sheetName val="Jõgeva"/>
      <sheetName val="Järva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</sheetNames>
    <sheetDataSet>
      <sheetData sheetId="17">
        <row r="13">
          <cell r="H13">
            <v>2799288410.33</v>
          </cell>
        </row>
        <row r="14">
          <cell r="H14">
            <v>260320024.03</v>
          </cell>
        </row>
        <row r="15">
          <cell r="H15">
            <v>-41103.5</v>
          </cell>
        </row>
        <row r="16">
          <cell r="H16">
            <v>25</v>
          </cell>
        </row>
        <row r="17">
          <cell r="H17">
            <v>43604</v>
          </cell>
        </row>
        <row r="18">
          <cell r="H18">
            <v>1202911.58</v>
          </cell>
        </row>
        <row r="19">
          <cell r="H19">
            <v>18006115.740000002</v>
          </cell>
        </row>
        <row r="20">
          <cell r="H20">
            <v>9499946.94</v>
          </cell>
        </row>
        <row r="21">
          <cell r="H21">
            <v>0</v>
          </cell>
        </row>
        <row r="22">
          <cell r="H22">
            <v>25555770.689999994</v>
          </cell>
        </row>
        <row r="24">
          <cell r="H24">
            <v>646778143.58</v>
          </cell>
        </row>
        <row r="45">
          <cell r="H45">
            <v>278583790.39</v>
          </cell>
        </row>
        <row r="68">
          <cell r="H68">
            <v>236183074.71</v>
          </cell>
        </row>
        <row r="89">
          <cell r="H89">
            <v>772993.3400000001</v>
          </cell>
        </row>
        <row r="93">
          <cell r="H93">
            <v>676845580.1</v>
          </cell>
        </row>
        <row r="94">
          <cell r="H94">
            <v>1488485635.06</v>
          </cell>
        </row>
        <row r="96">
          <cell r="H96">
            <v>13931290</v>
          </cell>
        </row>
        <row r="97">
          <cell r="H97">
            <v>1009642.9</v>
          </cell>
        </row>
        <row r="98">
          <cell r="H98">
            <v>1202881.78</v>
          </cell>
        </row>
        <row r="99">
          <cell r="H99">
            <v>3773190.21</v>
          </cell>
        </row>
        <row r="101">
          <cell r="H101">
            <v>101610728.48000002</v>
          </cell>
        </row>
        <row r="108">
          <cell r="H108">
            <v>71801461.83</v>
          </cell>
        </row>
        <row r="114">
          <cell r="H114">
            <v>62576687.45</v>
          </cell>
        </row>
        <row r="122">
          <cell r="H122">
            <v>30563783.7612015</v>
          </cell>
        </row>
        <row r="127">
          <cell r="H127">
            <v>669362617.221</v>
          </cell>
        </row>
        <row r="147">
          <cell r="H147">
            <v>63755272.79</v>
          </cell>
        </row>
        <row r="152">
          <cell r="H152">
            <v>2592192207.9600005</v>
          </cell>
        </row>
        <row r="161">
          <cell r="H161">
            <v>2143244946.22</v>
          </cell>
        </row>
        <row r="185">
          <cell r="H185">
            <v>43367168.879999995</v>
          </cell>
        </row>
        <row r="197">
          <cell r="H197">
            <v>51763922.769999996</v>
          </cell>
        </row>
        <row r="203">
          <cell r="H203">
            <v>621616334.2800001</v>
          </cell>
        </row>
        <row r="216">
          <cell r="H216">
            <v>-80387853.66</v>
          </cell>
        </row>
        <row r="220">
          <cell r="H220">
            <v>-147131</v>
          </cell>
        </row>
        <row r="221">
          <cell r="H221">
            <v>72145329.62000002</v>
          </cell>
        </row>
        <row r="225">
          <cell r="H225">
            <v>1991264.46</v>
          </cell>
        </row>
        <row r="226">
          <cell r="H226">
            <v>808941622.7600001</v>
          </cell>
        </row>
        <row r="233">
          <cell r="H233">
            <v>-626127096.07</v>
          </cell>
        </row>
        <row r="241">
          <cell r="H241">
            <v>-719378474.66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Lääne"/>
      <sheetName val="Lääne-Viru"/>
      <sheetName val="Jõgeva"/>
      <sheetName val="Järva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</sheetNames>
    <sheetDataSet>
      <sheetData sheetId="17">
        <row r="13">
          <cell r="H13">
            <v>4786669949.379999</v>
          </cell>
        </row>
        <row r="14">
          <cell r="H14">
            <v>386302558.17</v>
          </cell>
        </row>
        <row r="15">
          <cell r="H15">
            <v>0</v>
          </cell>
        </row>
        <row r="16">
          <cell r="H16">
            <v>25</v>
          </cell>
        </row>
        <row r="17">
          <cell r="H17">
            <v>58529</v>
          </cell>
        </row>
        <row r="18">
          <cell r="H18">
            <v>2147546.17</v>
          </cell>
        </row>
        <row r="19">
          <cell r="H19">
            <v>30146205.150000002</v>
          </cell>
        </row>
        <row r="20">
          <cell r="H20">
            <v>14607619.81</v>
          </cell>
        </row>
        <row r="21">
          <cell r="H21">
            <v>0</v>
          </cell>
        </row>
        <row r="22">
          <cell r="H22">
            <v>43499511.64000001</v>
          </cell>
        </row>
        <row r="24">
          <cell r="H24">
            <v>1015904040.22</v>
          </cell>
        </row>
        <row r="45">
          <cell r="H45">
            <v>407025056.5899999</v>
          </cell>
        </row>
        <row r="68">
          <cell r="H68">
            <v>368814547.14000005</v>
          </cell>
        </row>
        <row r="89">
          <cell r="H89">
            <v>977070.29</v>
          </cell>
        </row>
        <row r="93">
          <cell r="H93">
            <v>850402862.1</v>
          </cell>
        </row>
        <row r="94">
          <cell r="H94">
            <v>2160394654.5</v>
          </cell>
        </row>
        <row r="96">
          <cell r="H96">
            <v>4031037.25</v>
          </cell>
        </row>
        <row r="97">
          <cell r="H97">
            <v>1181317.79</v>
          </cell>
        </row>
        <row r="98">
          <cell r="H98">
            <v>1699030.4400000002</v>
          </cell>
        </row>
        <row r="99">
          <cell r="H99">
            <v>4992955.72</v>
          </cell>
        </row>
        <row r="101">
          <cell r="H101">
            <v>484362686.63</v>
          </cell>
        </row>
        <row r="108">
          <cell r="H108">
            <v>131072209.96999998</v>
          </cell>
        </row>
        <row r="114">
          <cell r="H114">
            <v>99088604.70999998</v>
          </cell>
        </row>
        <row r="122">
          <cell r="H122">
            <v>67932349.22</v>
          </cell>
        </row>
        <row r="127">
          <cell r="H127">
            <v>1146556785.98</v>
          </cell>
        </row>
        <row r="147">
          <cell r="H147">
            <v>104917561.25</v>
          </cell>
        </row>
        <row r="152">
          <cell r="H152">
            <v>4118289325.0600004</v>
          </cell>
        </row>
        <row r="161">
          <cell r="H161">
            <v>3668389525.2200007</v>
          </cell>
        </row>
        <row r="185">
          <cell r="H185">
            <v>74117157.28</v>
          </cell>
        </row>
        <row r="197">
          <cell r="H197">
            <v>91565284.83</v>
          </cell>
        </row>
        <row r="203">
          <cell r="H203">
            <v>1872210510.98</v>
          </cell>
        </row>
        <row r="216">
          <cell r="H216">
            <v>-1715542008.12</v>
          </cell>
        </row>
        <row r="220">
          <cell r="H220">
            <v>-171531</v>
          </cell>
        </row>
        <row r="221">
          <cell r="H221">
            <v>2684441701.9500003</v>
          </cell>
        </row>
        <row r="225">
          <cell r="H225">
            <v>2537456.82</v>
          </cell>
        </row>
        <row r="226">
          <cell r="H226">
            <v>1081034576.58</v>
          </cell>
        </row>
        <row r="233">
          <cell r="H233">
            <v>-845673320.0400001</v>
          </cell>
        </row>
        <row r="241">
          <cell r="H241">
            <v>-995778408.35107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"/>
      <sheetName val="Ülevaade Overview"/>
    </sheetNames>
    <sheetDataSet>
      <sheetData sheetId="18">
        <row r="45">
          <cell r="H45">
            <v>406522164.4299999</v>
          </cell>
        </row>
        <row r="68">
          <cell r="H68">
            <v>790612946.02</v>
          </cell>
        </row>
        <row r="89">
          <cell r="H89">
            <v>830756.66</v>
          </cell>
        </row>
        <row r="96">
          <cell r="H96">
            <v>2334777.45</v>
          </cell>
        </row>
        <row r="97">
          <cell r="H97">
            <v>1904447.33</v>
          </cell>
        </row>
        <row r="98">
          <cell r="H98">
            <v>1211219.58</v>
          </cell>
        </row>
        <row r="99">
          <cell r="H99">
            <v>4165921.38</v>
          </cell>
        </row>
        <row r="101">
          <cell r="H101">
            <v>1392467138.4500003</v>
          </cell>
        </row>
        <row r="108">
          <cell r="H108">
            <v>220261416.76999998</v>
          </cell>
        </row>
        <row r="114">
          <cell r="H114">
            <v>128188189.35</v>
          </cell>
        </row>
        <row r="122">
          <cell r="H122">
            <v>81392149.04</v>
          </cell>
        </row>
        <row r="127">
          <cell r="H127">
            <v>1264498192.8700004</v>
          </cell>
        </row>
        <row r="149">
          <cell r="H149">
            <v>184562933.20000002</v>
          </cell>
        </row>
        <row r="187">
          <cell r="H187">
            <v>23358898.940000005</v>
          </cell>
        </row>
        <row r="199">
          <cell r="H199">
            <v>105599423.66999997</v>
          </cell>
        </row>
        <row r="218">
          <cell r="H218">
            <v>-3941380909.2499995</v>
          </cell>
        </row>
        <row r="222">
          <cell r="H222">
            <v>-973970</v>
          </cell>
        </row>
        <row r="223">
          <cell r="H223">
            <v>3450390957.9200006</v>
          </cell>
        </row>
        <row r="227">
          <cell r="H227">
            <v>7808506.42</v>
          </cell>
        </row>
      </sheetData>
      <sheetData sheetId="20">
        <row r="4">
          <cell r="F4">
            <v>5863975.850990001</v>
          </cell>
        </row>
        <row r="5">
          <cell r="F5">
            <v>398930.777</v>
          </cell>
        </row>
        <row r="6">
          <cell r="F6">
            <v>93141.90424</v>
          </cell>
        </row>
        <row r="7">
          <cell r="F7">
            <v>1163529.878085</v>
          </cell>
        </row>
        <row r="8">
          <cell r="F8">
            <v>982646.4785</v>
          </cell>
        </row>
        <row r="9">
          <cell r="F9">
            <v>2304563.20519</v>
          </cell>
        </row>
        <row r="17">
          <cell r="F17">
            <v>4526359.48305</v>
          </cell>
        </row>
        <row r="18">
          <cell r="F18">
            <v>3896358.17212</v>
          </cell>
        </row>
        <row r="19">
          <cell r="F19">
            <v>2541303.54429</v>
          </cell>
        </row>
        <row r="21">
          <cell r="F21">
            <v>0</v>
          </cell>
        </row>
        <row r="25">
          <cell r="F25">
            <v>-438964.7481799999</v>
          </cell>
        </row>
        <row r="26">
          <cell r="F26">
            <v>-421058.61666646425</v>
          </cell>
        </row>
        <row r="28">
          <cell r="F28">
            <v>1545375.7948950774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</sheetNames>
    <sheetDataSet>
      <sheetData sheetId="18">
        <row r="45">
          <cell r="H45">
            <v>332807545.7900001</v>
          </cell>
        </row>
        <row r="68">
          <cell r="H68">
            <v>654675257.3100001</v>
          </cell>
        </row>
        <row r="89">
          <cell r="H89">
            <v>1787233.62</v>
          </cell>
        </row>
        <row r="96">
          <cell r="H96">
            <v>1154194.86</v>
          </cell>
        </row>
        <row r="97">
          <cell r="H97">
            <v>1710092.62</v>
          </cell>
        </row>
        <row r="98">
          <cell r="H98">
            <v>1182678.45</v>
          </cell>
        </row>
        <row r="99">
          <cell r="H99">
            <v>1320582.06</v>
          </cell>
        </row>
        <row r="101">
          <cell r="H101">
            <v>401548253.43</v>
          </cell>
        </row>
        <row r="108">
          <cell r="H108">
            <v>221900793.88</v>
          </cell>
        </row>
        <row r="114">
          <cell r="H114">
            <v>99840700.46999998</v>
          </cell>
        </row>
        <row r="122">
          <cell r="H122">
            <v>55821379.43</v>
          </cell>
        </row>
        <row r="127">
          <cell r="H127">
            <v>909798883.5699998</v>
          </cell>
        </row>
        <row r="148">
          <cell r="H148">
            <v>89517658.08</v>
          </cell>
        </row>
        <row r="187">
          <cell r="H187">
            <v>189118961.1013</v>
          </cell>
        </row>
        <row r="199">
          <cell r="H199">
            <v>93625791.19999999</v>
          </cell>
        </row>
        <row r="218">
          <cell r="H218">
            <v>-237598303.10000002</v>
          </cell>
        </row>
        <row r="222">
          <cell r="H222">
            <v>-262560</v>
          </cell>
        </row>
        <row r="223">
          <cell r="H223">
            <v>179877318.52</v>
          </cell>
        </row>
        <row r="227">
          <cell r="H227">
            <v>1726749.56</v>
          </cell>
        </row>
      </sheetData>
      <sheetData sheetId="19">
        <row r="4">
          <cell r="G4">
            <v>4700035.643069999</v>
          </cell>
        </row>
        <row r="5">
          <cell r="G5">
            <v>335377.84324</v>
          </cell>
        </row>
        <row r="6">
          <cell r="G6">
            <v>80622.31814</v>
          </cell>
        </row>
        <row r="7">
          <cell r="G7">
            <v>916321.4567000002</v>
          </cell>
        </row>
        <row r="8">
          <cell r="G8">
            <v>929419.48856</v>
          </cell>
        </row>
        <row r="9">
          <cell r="G9">
            <v>1840938.98853</v>
          </cell>
        </row>
        <row r="17">
          <cell r="G17">
            <v>3819276.8885000013</v>
          </cell>
        </row>
        <row r="18">
          <cell r="G18">
            <v>3008843.26104</v>
          </cell>
        </row>
        <row r="19">
          <cell r="G19">
            <v>1166865.7361500002</v>
          </cell>
        </row>
        <row r="21">
          <cell r="G21">
            <v>-175851.81455</v>
          </cell>
        </row>
        <row r="25">
          <cell r="G25">
            <v>-198702.55122000002</v>
          </cell>
        </row>
        <row r="26">
          <cell r="G26">
            <v>-856818.8777737776</v>
          </cell>
        </row>
        <row r="28">
          <cell r="G28">
            <v>2673087.1531350776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</sheetNames>
    <sheetDataSet>
      <sheetData sheetId="18">
        <row r="45">
          <cell r="H45">
            <v>497621398.95000005</v>
          </cell>
        </row>
        <row r="68">
          <cell r="H68">
            <v>1047146239.9999999</v>
          </cell>
        </row>
        <row r="89">
          <cell r="H89">
            <v>4383692.01</v>
          </cell>
        </row>
        <row r="96">
          <cell r="H96">
            <v>1577476.95</v>
          </cell>
        </row>
        <row r="97">
          <cell r="H97">
            <v>2019152.08</v>
          </cell>
        </row>
        <row r="98">
          <cell r="H98">
            <v>967648.45</v>
          </cell>
        </row>
        <row r="99">
          <cell r="H99">
            <v>2262043.92</v>
          </cell>
        </row>
        <row r="101">
          <cell r="H101">
            <v>498984277.91</v>
          </cell>
        </row>
        <row r="108">
          <cell r="H108">
            <v>312251246.11</v>
          </cell>
        </row>
        <row r="114">
          <cell r="H114">
            <v>163150935.03000003</v>
          </cell>
        </row>
        <row r="122">
          <cell r="H122">
            <v>81456263.88</v>
          </cell>
        </row>
        <row r="127">
          <cell r="H127">
            <v>1286322981.28</v>
          </cell>
        </row>
        <row r="148">
          <cell r="H148">
            <v>146286747.72</v>
          </cell>
        </row>
        <row r="187">
          <cell r="H187">
            <v>327532379.5999999</v>
          </cell>
        </row>
        <row r="199">
          <cell r="H199">
            <v>145786098.28</v>
          </cell>
        </row>
        <row r="218">
          <cell r="H218">
            <v>-424930251.44</v>
          </cell>
        </row>
        <row r="222">
          <cell r="H222">
            <v>-262560</v>
          </cell>
        </row>
        <row r="223">
          <cell r="H223">
            <v>323644965.49000007</v>
          </cell>
        </row>
        <row r="227">
          <cell r="H227">
            <v>4150822.4299999997</v>
          </cell>
        </row>
      </sheetData>
      <sheetData sheetId="19">
        <row r="4">
          <cell r="G4">
            <v>7445024.235269999</v>
          </cell>
        </row>
        <row r="5">
          <cell r="G5">
            <v>432193.41318000003</v>
          </cell>
        </row>
        <row r="6">
          <cell r="G6">
            <v>124560.08508000002</v>
          </cell>
        </row>
        <row r="7">
          <cell r="G7">
            <v>1282892.2554399997</v>
          </cell>
        </row>
        <row r="8">
          <cell r="G8">
            <v>1181020.8359700001</v>
          </cell>
        </row>
        <row r="9">
          <cell r="G9">
            <v>2426875.9514300004</v>
          </cell>
        </row>
        <row r="17">
          <cell r="G17">
            <v>5361986.876519998</v>
          </cell>
        </row>
        <row r="18">
          <cell r="G18">
            <v>4396131.07333</v>
          </cell>
        </row>
        <row r="19">
          <cell r="G19">
            <v>2635476.611</v>
          </cell>
        </row>
        <row r="21">
          <cell r="G21">
            <v>-90633.92252</v>
          </cell>
        </row>
        <row r="25">
          <cell r="G25">
            <v>-348961.29770499986</v>
          </cell>
        </row>
        <row r="26">
          <cell r="G26">
            <v>-647119.6904399999</v>
          </cell>
        </row>
        <row r="28">
          <cell r="G28">
            <v>2463387.65771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Ülevaade Overview (2)"/>
    </sheetNames>
    <sheetDataSet>
      <sheetData sheetId="18">
        <row r="45">
          <cell r="H45">
            <v>360273209.06</v>
          </cell>
        </row>
        <row r="68">
          <cell r="H68">
            <v>574666960.42</v>
          </cell>
        </row>
        <row r="89">
          <cell r="H89">
            <v>2392432.2399999998</v>
          </cell>
        </row>
        <row r="96">
          <cell r="H96">
            <v>1415727.71</v>
          </cell>
        </row>
        <row r="97">
          <cell r="H97">
            <v>998172</v>
          </cell>
        </row>
        <row r="98">
          <cell r="H98">
            <v>396362.65</v>
          </cell>
        </row>
        <row r="99">
          <cell r="H99">
            <v>1795200.6300000001</v>
          </cell>
        </row>
        <row r="101">
          <cell r="H101">
            <v>82582237.19</v>
          </cell>
        </row>
        <row r="108">
          <cell r="H108">
            <v>261011115.53000006</v>
          </cell>
        </row>
        <row r="114">
          <cell r="H114">
            <v>115318707.68</v>
          </cell>
        </row>
        <row r="122">
          <cell r="H122">
            <v>50509135.02</v>
          </cell>
        </row>
        <row r="127">
          <cell r="H127">
            <v>1141062439.0600002</v>
          </cell>
        </row>
        <row r="148">
          <cell r="H148">
            <v>158260297.76000002</v>
          </cell>
        </row>
        <row r="187">
          <cell r="H187">
            <v>272554038.4299998</v>
          </cell>
        </row>
        <row r="199">
          <cell r="H199">
            <v>122240223.42999998</v>
          </cell>
        </row>
        <row r="218">
          <cell r="H218">
            <v>-471458915.28</v>
          </cell>
        </row>
        <row r="222">
          <cell r="H222">
            <v>-263043</v>
          </cell>
        </row>
        <row r="223">
          <cell r="H223">
            <v>277090127.2300001</v>
          </cell>
        </row>
        <row r="227">
          <cell r="H227">
            <v>1563632.81</v>
          </cell>
        </row>
      </sheetData>
      <sheetData sheetId="19">
        <row r="4">
          <cell r="Q4">
            <v>5694712.600400001</v>
          </cell>
        </row>
        <row r="5">
          <cell r="Q5">
            <v>397258.029</v>
          </cell>
        </row>
        <row r="6">
          <cell r="Q6">
            <v>85965.38036000001</v>
          </cell>
        </row>
        <row r="7">
          <cell r="Q7">
            <v>1065955.71854</v>
          </cell>
        </row>
        <row r="8">
          <cell r="Q8">
            <v>947800.16471</v>
          </cell>
        </row>
        <row r="9">
          <cell r="Q9">
            <v>2162549.6206300003</v>
          </cell>
        </row>
        <row r="17">
          <cell r="Q17">
            <v>4744518.087869998</v>
          </cell>
        </row>
        <row r="18">
          <cell r="Q18">
            <v>3511762.9314000015</v>
          </cell>
        </row>
        <row r="19">
          <cell r="Q19">
            <v>1539727.7983299997</v>
          </cell>
        </row>
        <row r="21">
          <cell r="Q21">
            <v>-64464.78311</v>
          </cell>
        </row>
        <row r="25">
          <cell r="Q25">
            <v>-33423.435150000034</v>
          </cell>
        </row>
        <row r="26">
          <cell r="Q26">
            <v>-66159.5412599999</v>
          </cell>
        </row>
        <row r="28">
          <cell r="Q28">
            <v>1901171.0187939995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Ülevaade Overview (2)"/>
      <sheetName val="Joonised Charts"/>
    </sheetNames>
    <sheetDataSet>
      <sheetData sheetId="19">
        <row r="45">
          <cell r="H45">
            <v>551673046.63</v>
          </cell>
        </row>
        <row r="68">
          <cell r="H68">
            <v>1090526790.6000001</v>
          </cell>
        </row>
        <row r="89">
          <cell r="H89">
            <v>5707666.71</v>
          </cell>
        </row>
        <row r="96">
          <cell r="H96">
            <v>1895393.42</v>
          </cell>
        </row>
        <row r="97">
          <cell r="H97">
            <v>1056348</v>
          </cell>
        </row>
        <row r="98">
          <cell r="H98">
            <v>910226.7</v>
          </cell>
        </row>
        <row r="99">
          <cell r="H99">
            <v>2637889.95</v>
          </cell>
        </row>
        <row r="101">
          <cell r="H101">
            <v>147690884.17</v>
          </cell>
        </row>
        <row r="108">
          <cell r="H108">
            <v>362393704.0799999</v>
          </cell>
        </row>
        <row r="114">
          <cell r="H114">
            <v>183163463.87999997</v>
          </cell>
        </row>
        <row r="122">
          <cell r="H122">
            <v>73958197.99000001</v>
          </cell>
        </row>
        <row r="127">
          <cell r="H127">
            <v>1639472528.5700002</v>
          </cell>
        </row>
        <row r="148">
          <cell r="H148">
            <v>260122669.47000003</v>
          </cell>
        </row>
        <row r="187">
          <cell r="H187">
            <v>422866586.73</v>
          </cell>
        </row>
        <row r="199">
          <cell r="H199">
            <v>195248812.66</v>
          </cell>
        </row>
        <row r="218">
          <cell r="H218">
            <v>-766826201.87</v>
          </cell>
        </row>
        <row r="222">
          <cell r="H222">
            <v>-1034873</v>
          </cell>
        </row>
        <row r="223">
          <cell r="H223">
            <v>440825594.84000003</v>
          </cell>
        </row>
        <row r="227">
          <cell r="H227">
            <v>3300562.92</v>
          </cell>
        </row>
      </sheetData>
      <sheetData sheetId="20">
        <row r="4">
          <cell r="Q4">
            <v>8732088.43924</v>
          </cell>
        </row>
        <row r="5">
          <cell r="Q5">
            <v>585665.318</v>
          </cell>
        </row>
        <row r="6">
          <cell r="Q6">
            <v>142900.54206</v>
          </cell>
        </row>
        <row r="7">
          <cell r="Q7">
            <v>1596929.2172759995</v>
          </cell>
        </row>
        <row r="8">
          <cell r="Q8">
            <v>1211626.68713</v>
          </cell>
        </row>
        <row r="9">
          <cell r="Q9">
            <v>2864175.4450899996</v>
          </cell>
        </row>
        <row r="17">
          <cell r="Q17">
            <v>6499670.68369</v>
          </cell>
        </row>
        <row r="18">
          <cell r="Q18">
            <v>5230332.185589999</v>
          </cell>
        </row>
        <row r="19">
          <cell r="Q19">
            <v>3008154.790579</v>
          </cell>
        </row>
        <row r="21">
          <cell r="Q21">
            <v>-3234.68525</v>
          </cell>
        </row>
        <row r="25">
          <cell r="Q25">
            <v>124192.81395000011</v>
          </cell>
        </row>
        <row r="26">
          <cell r="Q26">
            <v>-171047.73089999982</v>
          </cell>
        </row>
        <row r="28">
          <cell r="Q28">
            <v>2007734.21143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Ülevaade kuuliselt"/>
      <sheetName val="Joonised Charts"/>
    </sheetNames>
    <sheetDataSet>
      <sheetData sheetId="19">
        <row r="45">
          <cell r="H45">
            <v>271240244.53</v>
          </cell>
        </row>
        <row r="68">
          <cell r="H68">
            <v>485386085.24</v>
          </cell>
        </row>
        <row r="89">
          <cell r="H89">
            <v>1140491.33</v>
          </cell>
        </row>
        <row r="96">
          <cell r="H96">
            <v>1232283.13</v>
          </cell>
        </row>
        <row r="97">
          <cell r="H97">
            <v>1213881</v>
          </cell>
        </row>
        <row r="98">
          <cell r="H98">
            <v>2251653.98</v>
          </cell>
        </row>
        <row r="99">
          <cell r="H99">
            <v>796986.29</v>
          </cell>
        </row>
        <row r="101">
          <cell r="H101">
            <v>70567191.24</v>
          </cell>
        </row>
        <row r="108">
          <cell r="H108">
            <v>243817059.74999994</v>
          </cell>
        </row>
        <row r="114">
          <cell r="H114">
            <v>120795830.16999999</v>
          </cell>
        </row>
        <row r="122">
          <cell r="H122">
            <v>48751680.13999999</v>
          </cell>
        </row>
        <row r="127">
          <cell r="H127">
            <v>1141751108.8200004</v>
          </cell>
        </row>
        <row r="148">
          <cell r="H148">
            <v>177069490.93999997</v>
          </cell>
        </row>
        <row r="187">
          <cell r="H187">
            <v>222816564.28000006</v>
          </cell>
        </row>
        <row r="199">
          <cell r="H199">
            <v>141482766.04</v>
          </cell>
        </row>
        <row r="218">
          <cell r="H218">
            <v>-12971166.89</v>
          </cell>
        </row>
        <row r="222">
          <cell r="H222">
            <v>0</v>
          </cell>
        </row>
        <row r="223">
          <cell r="H223">
            <v>60237012.04</v>
          </cell>
        </row>
        <row r="227">
          <cell r="H227">
            <v>1583879.08</v>
          </cell>
        </row>
      </sheetData>
      <sheetData sheetId="20">
        <row r="4">
          <cell r="T4">
            <v>5204363.04162</v>
          </cell>
        </row>
        <row r="5">
          <cell r="T5">
            <v>255485.049</v>
          </cell>
        </row>
        <row r="6">
          <cell r="T6">
            <v>73509.49166999999</v>
          </cell>
        </row>
        <row r="7">
          <cell r="T7">
            <v>1083483.24812343</v>
          </cell>
        </row>
        <row r="8">
          <cell r="T8">
            <v>733711.4511000002</v>
          </cell>
        </row>
        <row r="9">
          <cell r="T9">
            <v>2077117.81688</v>
          </cell>
        </row>
        <row r="17">
          <cell r="T17">
            <v>4612271.418619997</v>
          </cell>
        </row>
        <row r="18">
          <cell r="T18">
            <v>3332758.6812000005</v>
          </cell>
        </row>
        <row r="19">
          <cell r="T19">
            <v>1257265.7761199998</v>
          </cell>
        </row>
        <row r="21">
          <cell r="T21">
            <v>-390016.67237</v>
          </cell>
        </row>
        <row r="25">
          <cell r="T25">
            <v>443028.86197000026</v>
          </cell>
        </row>
        <row r="26">
          <cell r="T26">
            <v>54000.62531400018</v>
          </cell>
        </row>
        <row r="28">
          <cell r="T28">
            <v>1668177.278516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T-K-F"/>
      <sheetName val="Tegevu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  <sheetName val="Tulud-finants"/>
      <sheetName val="Kontroll"/>
      <sheetName val="Ülevaade Overview (2)"/>
    </sheetNames>
    <sheetDataSet>
      <sheetData sheetId="19">
        <row r="13">
          <cell r="H13">
            <v>6364927990.61</v>
          </cell>
        </row>
        <row r="14">
          <cell r="H14">
            <v>505770639.93</v>
          </cell>
        </row>
        <row r="15">
          <cell r="H15">
            <v>0</v>
          </cell>
        </row>
        <row r="16">
          <cell r="H16">
            <v>25</v>
          </cell>
        </row>
        <row r="17">
          <cell r="H17">
            <v>93268.6</v>
          </cell>
        </row>
        <row r="18">
          <cell r="H18">
            <v>2982688.63</v>
          </cell>
        </row>
        <row r="19">
          <cell r="H19">
            <v>35143735.60000001</v>
          </cell>
        </row>
        <row r="20">
          <cell r="H20">
            <v>18295903.86</v>
          </cell>
        </row>
        <row r="21">
          <cell r="H21">
            <v>0</v>
          </cell>
        </row>
        <row r="22">
          <cell r="H22">
            <v>61345743.129999995</v>
          </cell>
        </row>
        <row r="24">
          <cell r="H24">
            <v>1526360347.2200005</v>
          </cell>
        </row>
        <row r="45">
          <cell r="H45">
            <v>648237266.69</v>
          </cell>
        </row>
        <row r="68">
          <cell r="H68">
            <v>615860782.9899999</v>
          </cell>
        </row>
        <row r="89">
          <cell r="H89">
            <v>1798113.6900000002</v>
          </cell>
        </row>
        <row r="93">
          <cell r="H93">
            <v>950000000</v>
          </cell>
        </row>
        <row r="94">
          <cell r="H94">
            <v>2918056598.02</v>
          </cell>
        </row>
        <row r="96">
          <cell r="H96">
            <v>7481731.29</v>
          </cell>
        </row>
        <row r="97">
          <cell r="H97">
            <v>1640140.1400000001</v>
          </cell>
        </row>
        <row r="98">
          <cell r="H98">
            <v>4391938.31</v>
          </cell>
        </row>
        <row r="99">
          <cell r="H99">
            <v>8222644.64</v>
          </cell>
        </row>
        <row r="101">
          <cell r="H101">
            <v>707813911.22</v>
          </cell>
        </row>
        <row r="108">
          <cell r="H108">
            <v>172565815.14999998</v>
          </cell>
        </row>
        <row r="114">
          <cell r="H114">
            <v>137904409.95999998</v>
          </cell>
        </row>
        <row r="122">
          <cell r="H122">
            <v>104775285.17000002</v>
          </cell>
        </row>
        <row r="127">
          <cell r="H127">
            <v>1561315818.0700002</v>
          </cell>
        </row>
        <row r="147">
          <cell r="H147">
            <v>223091661.15</v>
          </cell>
        </row>
        <row r="152">
          <cell r="H152">
            <v>5723961724.810001</v>
          </cell>
        </row>
        <row r="161">
          <cell r="H161">
            <v>4918021984.904</v>
          </cell>
        </row>
        <row r="185">
          <cell r="H185">
            <v>62073358.099999994</v>
          </cell>
        </row>
        <row r="197">
          <cell r="H197">
            <v>118843540.85</v>
          </cell>
        </row>
        <row r="203">
          <cell r="H203">
            <v>2634716041.87</v>
          </cell>
        </row>
        <row r="216">
          <cell r="H216">
            <v>-643595047.77</v>
          </cell>
        </row>
        <row r="220">
          <cell r="H220">
            <v>-1973264</v>
          </cell>
        </row>
        <row r="221">
          <cell r="H221">
            <v>675255168.97</v>
          </cell>
        </row>
        <row r="225">
          <cell r="H225">
            <v>17273983.070000004</v>
          </cell>
        </row>
        <row r="226">
          <cell r="H226">
            <v>1634780364.09</v>
          </cell>
        </row>
        <row r="233">
          <cell r="H233">
            <v>-1172702831.62</v>
          </cell>
        </row>
        <row r="241">
          <cell r="H241">
            <v>-413060735.0110701</v>
          </cell>
        </row>
        <row r="355">
          <cell r="H355">
            <v>282490970.89</v>
          </cell>
        </row>
      </sheetData>
      <sheetData sheetId="22">
        <row r="4">
          <cell r="G4">
            <v>1456852.603</v>
          </cell>
        </row>
        <row r="5">
          <cell r="G5">
            <v>66048.554</v>
          </cell>
        </row>
        <row r="6">
          <cell r="G6">
            <v>24158.12959</v>
          </cell>
        </row>
        <row r="7">
          <cell r="G7">
            <v>349616.32729</v>
          </cell>
        </row>
        <row r="8">
          <cell r="G8">
            <v>318978.556</v>
          </cell>
        </row>
        <row r="9">
          <cell r="G9">
            <v>701397.7690399999</v>
          </cell>
        </row>
        <row r="17">
          <cell r="G17">
            <v>911211.19005</v>
          </cell>
        </row>
        <row r="18">
          <cell r="G18">
            <v>718698.1492500001</v>
          </cell>
        </row>
        <row r="19">
          <cell r="G19">
            <v>156118.11247</v>
          </cell>
        </row>
        <row r="25">
          <cell r="G25">
            <v>-49823.99609</v>
          </cell>
        </row>
        <row r="26">
          <cell r="G26">
            <v>-76916.74544106993</v>
          </cell>
        </row>
        <row r="28">
          <cell r="G28">
            <v>739852.3649186132</v>
          </cell>
          <cell r="J28">
            <v>1471875.15592</v>
          </cell>
          <cell r="M28">
            <v>1659703.8863086135</v>
          </cell>
          <cell r="P28">
            <v>1079127.5936886133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Ülevaade kuuliselt"/>
      <sheetName val="Joonised Charts"/>
    </sheetNames>
    <sheetDataSet>
      <sheetData sheetId="19">
        <row r="45">
          <cell r="H45">
            <v>473744043.89000005</v>
          </cell>
        </row>
        <row r="68">
          <cell r="H68">
            <v>758102459.6999999</v>
          </cell>
        </row>
        <row r="89">
          <cell r="H89">
            <v>1465269.73</v>
          </cell>
        </row>
        <row r="96">
          <cell r="H96">
            <v>1753658.75</v>
          </cell>
        </row>
        <row r="97">
          <cell r="H97">
            <v>1124788</v>
          </cell>
        </row>
        <row r="98">
          <cell r="H98">
            <v>21375</v>
          </cell>
        </row>
        <row r="99">
          <cell r="H99">
            <v>2040736.04</v>
          </cell>
        </row>
        <row r="101">
          <cell r="H101">
            <v>109959452.49000002</v>
          </cell>
        </row>
        <row r="108">
          <cell r="H108">
            <v>320276051.36999995</v>
          </cell>
        </row>
        <row r="114">
          <cell r="H114">
            <v>179729671.68</v>
          </cell>
        </row>
        <row r="122">
          <cell r="H122">
            <v>79583529.08999999</v>
          </cell>
        </row>
        <row r="127">
          <cell r="H127">
            <v>1655425735.5300002</v>
          </cell>
        </row>
        <row r="148">
          <cell r="H148">
            <v>245413657.20000005</v>
          </cell>
        </row>
        <row r="187">
          <cell r="H187">
            <v>338894917.9400002</v>
          </cell>
        </row>
        <row r="199">
          <cell r="H199">
            <v>197050915.74</v>
          </cell>
        </row>
        <row r="218">
          <cell r="H218">
            <v>-16536734.870000001</v>
          </cell>
        </row>
        <row r="222">
          <cell r="H222">
            <v>0</v>
          </cell>
        </row>
        <row r="223">
          <cell r="H223">
            <v>210249998.41999996</v>
          </cell>
        </row>
        <row r="227">
          <cell r="H227">
            <v>2180349.31</v>
          </cell>
        </row>
      </sheetData>
      <sheetData sheetId="20">
        <row r="4">
          <cell r="T4">
            <v>7716212.152</v>
          </cell>
        </row>
        <row r="5">
          <cell r="T5">
            <v>493553.269</v>
          </cell>
        </row>
        <row r="6">
          <cell r="T6">
            <v>113099.29747</v>
          </cell>
        </row>
        <row r="7">
          <cell r="T7">
            <v>1584539.38836</v>
          </cell>
        </row>
        <row r="8">
          <cell r="T8">
            <v>910550.87682</v>
          </cell>
        </row>
        <row r="9">
          <cell r="T9">
            <v>2700358.381780001</v>
          </cell>
        </row>
        <row r="17">
          <cell r="T17">
            <v>6567796.771969999</v>
          </cell>
        </row>
        <row r="18">
          <cell r="T18">
            <v>4810354.804569998</v>
          </cell>
        </row>
        <row r="19">
          <cell r="T19">
            <v>2399658.0455800006</v>
          </cell>
        </row>
        <row r="21">
          <cell r="T21">
            <v>-274497.86192</v>
          </cell>
        </row>
        <row r="25">
          <cell r="T25">
            <v>542699.83402</v>
          </cell>
        </row>
        <row r="26">
          <cell r="T26">
            <v>240881.2261899998</v>
          </cell>
        </row>
        <row r="28">
          <cell r="T28">
            <v>1481462.9843000001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Joonised Charts"/>
      <sheetName val="Ülevaade kuuliselt"/>
    </sheetNames>
    <sheetDataSet>
      <sheetData sheetId="19">
        <row r="45">
          <cell r="H45">
            <v>292361903.12</v>
          </cell>
        </row>
        <row r="68">
          <cell r="H68">
            <v>624179219.9100001</v>
          </cell>
        </row>
        <row r="89">
          <cell r="H89">
            <v>1357005.6</v>
          </cell>
        </row>
        <row r="96">
          <cell r="H96">
            <v>1150406.76</v>
          </cell>
        </row>
        <row r="97">
          <cell r="H97">
            <v>784986.9</v>
          </cell>
        </row>
        <row r="98">
          <cell r="H98">
            <v>1566938</v>
          </cell>
        </row>
        <row r="99">
          <cell r="H99">
            <v>1909244.85</v>
          </cell>
        </row>
        <row r="101">
          <cell r="H101">
            <v>52914122.3</v>
          </cell>
        </row>
        <row r="108">
          <cell r="H108">
            <v>313683745.79</v>
          </cell>
        </row>
        <row r="114">
          <cell r="H114">
            <v>123751014.05</v>
          </cell>
        </row>
        <row r="122">
          <cell r="H122">
            <v>42396222.879999995</v>
          </cell>
        </row>
        <row r="127">
          <cell r="H127">
            <v>1325456134.28</v>
          </cell>
        </row>
        <row r="148">
          <cell r="H148">
            <v>170534477.91</v>
          </cell>
        </row>
        <row r="187">
          <cell r="H187">
            <v>159226293.10999987</v>
          </cell>
        </row>
        <row r="199">
          <cell r="H199">
            <v>127204425.49000001</v>
          </cell>
        </row>
        <row r="218">
          <cell r="H218">
            <v>-39382886.25</v>
          </cell>
        </row>
        <row r="222">
          <cell r="H222">
            <v>-5600374.78</v>
          </cell>
        </row>
        <row r="223">
          <cell r="H223">
            <v>60276157.309999995</v>
          </cell>
        </row>
        <row r="227">
          <cell r="H227">
            <v>4153386.6999999997</v>
          </cell>
        </row>
      </sheetData>
      <sheetData sheetId="20">
        <row r="4">
          <cell r="W4">
            <v>4518540.907</v>
          </cell>
        </row>
        <row r="5">
          <cell r="W5">
            <v>473373.534</v>
          </cell>
        </row>
        <row r="6">
          <cell r="W6">
            <v>60915.706849999995</v>
          </cell>
        </row>
        <row r="7">
          <cell r="W7">
            <v>1061420.43123</v>
          </cell>
        </row>
        <row r="8">
          <cell r="W8">
            <v>716043.3289000001</v>
          </cell>
        </row>
        <row r="9">
          <cell r="W9">
            <v>2020635.7814000002</v>
          </cell>
        </row>
        <row r="17">
          <cell r="W17">
            <v>4332666.620859998</v>
          </cell>
        </row>
        <row r="18">
          <cell r="W18">
            <v>2959032.11536</v>
          </cell>
        </row>
        <row r="19">
          <cell r="W19">
            <v>865824.5905800001</v>
          </cell>
        </row>
        <row r="21">
          <cell r="W21">
            <v>-328177.33417000005</v>
          </cell>
        </row>
        <row r="25">
          <cell r="W25">
            <v>-56296.40142999983</v>
          </cell>
        </row>
        <row r="26">
          <cell r="W26">
            <v>-50242.84126999997</v>
          </cell>
        </row>
        <row r="28">
          <cell r="W28">
            <v>1097697.9372199997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Joonised Charts"/>
      <sheetName val="Ülevaade kuuliselt"/>
    </sheetNames>
    <sheetDataSet>
      <sheetData sheetId="19">
        <row r="45">
          <cell r="H45">
            <v>476862488.81000006</v>
          </cell>
        </row>
        <row r="68">
          <cell r="H68">
            <v>946698451.3699999</v>
          </cell>
        </row>
        <row r="89">
          <cell r="H89">
            <v>4547242.69</v>
          </cell>
        </row>
        <row r="96">
          <cell r="H96">
            <v>1717330.8</v>
          </cell>
        </row>
        <row r="97">
          <cell r="H97">
            <v>1165503.9</v>
          </cell>
        </row>
        <row r="98">
          <cell r="H98">
            <v>2270034.02</v>
          </cell>
        </row>
        <row r="99">
          <cell r="H99">
            <v>3983653.5500000003</v>
          </cell>
        </row>
        <row r="101">
          <cell r="H101">
            <v>91358488.44</v>
          </cell>
        </row>
        <row r="108">
          <cell r="H108">
            <v>392885151.03</v>
          </cell>
        </row>
        <row r="114">
          <cell r="H114">
            <v>198439255.54999998</v>
          </cell>
        </row>
        <row r="122">
          <cell r="H122">
            <v>54742382.629999995</v>
          </cell>
        </row>
        <row r="127">
          <cell r="H127">
            <v>1927054235.09</v>
          </cell>
        </row>
        <row r="148">
          <cell r="H148">
            <v>254320526.26999995</v>
          </cell>
        </row>
        <row r="187">
          <cell r="H187">
            <v>241579101.02000004</v>
          </cell>
        </row>
        <row r="199">
          <cell r="H199">
            <v>197372295.23000002</v>
          </cell>
        </row>
        <row r="218">
          <cell r="H218">
            <v>-44381103.71</v>
          </cell>
        </row>
        <row r="222">
          <cell r="H222">
            <v>-5727453.78</v>
          </cell>
        </row>
        <row r="223">
          <cell r="H223">
            <v>54099151.18000001</v>
          </cell>
        </row>
        <row r="227">
          <cell r="H227">
            <v>4244783.04</v>
          </cell>
        </row>
      </sheetData>
      <sheetData sheetId="20">
        <row r="4">
          <cell r="W4">
            <v>6902856.75</v>
          </cell>
        </row>
        <row r="5">
          <cell r="W5">
            <v>484261.118</v>
          </cell>
        </row>
        <row r="6">
          <cell r="W6">
            <v>123710.25265000001</v>
          </cell>
        </row>
        <row r="7">
          <cell r="W7">
            <v>1562701.2711000002</v>
          </cell>
        </row>
        <row r="8">
          <cell r="W8">
            <v>921385.6918500001</v>
          </cell>
        </row>
        <row r="9">
          <cell r="W9">
            <v>2677511.86144</v>
          </cell>
        </row>
        <row r="17">
          <cell r="W17">
            <v>6174117.5615799995</v>
          </cell>
        </row>
        <row r="18">
          <cell r="W18">
            <v>4143252.2072900003</v>
          </cell>
        </row>
        <row r="19">
          <cell r="W19">
            <v>1539544.712</v>
          </cell>
        </row>
        <row r="21">
          <cell r="W21">
            <v>-100071.17549</v>
          </cell>
        </row>
        <row r="25">
          <cell r="W25">
            <v>-105318.87574</v>
          </cell>
        </row>
        <row r="26">
          <cell r="W26">
            <v>-230065.55631000016</v>
          </cell>
        </row>
        <row r="28">
          <cell r="W28">
            <v>1277520.6508300004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Joonised Charts"/>
      <sheetName val="Ülevaade kuuliselt"/>
    </sheetNames>
    <sheetDataSet>
      <sheetData sheetId="19">
        <row r="45">
          <cell r="H45">
            <v>19726037.509999998</v>
          </cell>
        </row>
        <row r="68">
          <cell r="H68">
            <v>33377769.76</v>
          </cell>
        </row>
        <row r="89">
          <cell r="H89">
            <v>210449.08000000002</v>
          </cell>
        </row>
        <row r="96">
          <cell r="H96">
            <v>78180.28</v>
          </cell>
        </row>
        <row r="97">
          <cell r="H97">
            <v>43174.75000000001</v>
          </cell>
        </row>
        <row r="98">
          <cell r="H98">
            <v>40848.759999999995</v>
          </cell>
        </row>
        <row r="99">
          <cell r="H99">
            <v>60199.59999999999</v>
          </cell>
        </row>
        <row r="101">
          <cell r="H101">
            <v>6500912.229999999</v>
          </cell>
        </row>
        <row r="108">
          <cell r="H108">
            <v>13958318.349999998</v>
          </cell>
        </row>
        <row r="114">
          <cell r="H114">
            <v>7676260.57</v>
          </cell>
        </row>
        <row r="122">
          <cell r="H122">
            <v>2313725.5799999996</v>
          </cell>
        </row>
        <row r="127">
          <cell r="H127">
            <v>90105205.83999997</v>
          </cell>
        </row>
        <row r="148">
          <cell r="H148">
            <v>10628253.58</v>
          </cell>
        </row>
        <row r="187">
          <cell r="H187">
            <v>10899773.91</v>
          </cell>
        </row>
        <row r="199">
          <cell r="H199">
            <v>8596844.57</v>
          </cell>
        </row>
        <row r="218">
          <cell r="H218">
            <v>-11970326.03</v>
          </cell>
        </row>
        <row r="222">
          <cell r="H222">
            <v>-16637.8</v>
          </cell>
        </row>
        <row r="223">
          <cell r="H223">
            <v>12155702.360000001</v>
          </cell>
        </row>
        <row r="227">
          <cell r="H227">
            <v>115895.28</v>
          </cell>
        </row>
      </sheetData>
      <sheetData sheetId="20">
        <row r="4">
          <cell r="Z4">
            <v>303314834</v>
          </cell>
        </row>
        <row r="5">
          <cell r="Z5">
            <v>30264526.15</v>
          </cell>
        </row>
        <row r="6">
          <cell r="Z6">
            <v>11930879.680000002</v>
          </cell>
        </row>
        <row r="7">
          <cell r="Z7">
            <v>68848250.13</v>
          </cell>
        </row>
        <row r="8">
          <cell r="Z8">
            <v>47175991.55</v>
          </cell>
        </row>
        <row r="9">
          <cell r="Z9">
            <v>133683533.25999999</v>
          </cell>
        </row>
        <row r="17">
          <cell r="Z17">
            <v>271136174.087</v>
          </cell>
        </row>
        <row r="18">
          <cell r="Z18">
            <v>206274467.57999995</v>
          </cell>
        </row>
        <row r="19">
          <cell r="Z19">
            <v>44567965.230000004</v>
          </cell>
        </row>
        <row r="21">
          <cell r="Z21">
            <v>-22132883.45</v>
          </cell>
        </row>
        <row r="25">
          <cell r="Z25">
            <v>-9735342.430000005</v>
          </cell>
        </row>
        <row r="26">
          <cell r="Z26">
            <v>-8264349.906695118</v>
          </cell>
        </row>
        <row r="28">
          <cell r="Z28">
            <v>94967229.4766951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-K-F (2)"/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Joonised Charts"/>
      <sheetName val="Ülevaade kuuliselt"/>
    </sheetNames>
    <sheetDataSet>
      <sheetData sheetId="20">
        <row r="45">
          <cell r="H45">
            <v>33084741.340000004</v>
          </cell>
        </row>
        <row r="68">
          <cell r="H68">
            <v>53477202.400000006</v>
          </cell>
        </row>
        <row r="89">
          <cell r="H89">
            <v>370781.18</v>
          </cell>
        </row>
        <row r="96">
          <cell r="H96">
            <v>56902.58</v>
          </cell>
        </row>
        <row r="97">
          <cell r="H97">
            <v>51222.02000000001</v>
          </cell>
        </row>
        <row r="98">
          <cell r="H98">
            <v>25741.78</v>
          </cell>
        </row>
        <row r="99">
          <cell r="H99">
            <v>92284.98</v>
          </cell>
        </row>
        <row r="101">
          <cell r="H101">
            <v>8920081.31</v>
          </cell>
        </row>
        <row r="108">
          <cell r="H108">
            <v>20325656.740000002</v>
          </cell>
        </row>
        <row r="114">
          <cell r="H114">
            <v>12970347.510000004</v>
          </cell>
        </row>
        <row r="122">
          <cell r="H122">
            <v>3194539.3900000006</v>
          </cell>
        </row>
        <row r="127">
          <cell r="H127">
            <v>133258747.05000001</v>
          </cell>
        </row>
        <row r="148">
          <cell r="H148">
            <v>19255372.52</v>
          </cell>
        </row>
        <row r="187">
          <cell r="H187">
            <v>16684713.500000002</v>
          </cell>
        </row>
        <row r="199">
          <cell r="H199">
            <v>13484946.899999999</v>
          </cell>
        </row>
        <row r="218">
          <cell r="H218">
            <v>-9268754.88</v>
          </cell>
        </row>
        <row r="222">
          <cell r="H222">
            <v>-16637.8</v>
          </cell>
        </row>
        <row r="223">
          <cell r="H223">
            <v>3632533.999999999</v>
          </cell>
        </row>
        <row r="227">
          <cell r="H227">
            <v>115897.68</v>
          </cell>
        </row>
      </sheetData>
      <sheetData sheetId="21">
        <row r="4">
          <cell r="Z4">
            <v>463440395.33</v>
          </cell>
        </row>
        <row r="5">
          <cell r="Z5">
            <v>30668197.34</v>
          </cell>
        </row>
        <row r="6">
          <cell r="Z6">
            <v>18919358.66</v>
          </cell>
        </row>
        <row r="7">
          <cell r="Z7">
            <v>103781909.61000003</v>
          </cell>
        </row>
        <row r="8">
          <cell r="Z8">
            <v>60745490.72</v>
          </cell>
        </row>
        <row r="9">
          <cell r="Z9">
            <v>174515065.63000003</v>
          </cell>
        </row>
        <row r="17">
          <cell r="Z17">
            <v>391166794.93999994</v>
          </cell>
        </row>
        <row r="18">
          <cell r="Z18">
            <v>288719936.1590001</v>
          </cell>
        </row>
        <row r="19">
          <cell r="Z19">
            <v>83886927.87999998</v>
          </cell>
        </row>
        <row r="21">
          <cell r="Z21">
            <v>-12064186.22</v>
          </cell>
        </row>
        <row r="25">
          <cell r="Z25">
            <v>-14861376.940000009</v>
          </cell>
        </row>
        <row r="26">
          <cell r="Z26">
            <v>-11905720.535695126</v>
          </cell>
        </row>
        <row r="28">
          <cell r="Z28">
            <v>98638443.83569512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Kontroll"/>
      <sheetName val="Tallinn"/>
      <sheetName val="Harju"/>
      <sheetName val="Hiiu"/>
      <sheetName val="I-Viru"/>
      <sheetName val="Jõgeva"/>
      <sheetName val="Järva"/>
      <sheetName val="Lääne"/>
      <sheetName val="L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9">
        <row r="4">
          <cell r="AA4">
            <v>327693363.15</v>
          </cell>
        </row>
        <row r="5">
          <cell r="AA5">
            <v>33502118.869999997</v>
          </cell>
        </row>
        <row r="6">
          <cell r="AA6">
            <v>4957955.460000001</v>
          </cell>
        </row>
        <row r="7">
          <cell r="AA7">
            <v>79871922.3</v>
          </cell>
        </row>
        <row r="9">
          <cell r="AA9">
            <v>46091600.96999999</v>
          </cell>
        </row>
        <row r="10">
          <cell r="AA10">
            <v>129746244.69</v>
          </cell>
        </row>
        <row r="11">
          <cell r="AA11">
            <v>30106676.509999998</v>
          </cell>
        </row>
        <row r="12">
          <cell r="AA12">
            <v>11194630.830000002</v>
          </cell>
        </row>
        <row r="14">
          <cell r="AA14">
            <v>79010614.44797695</v>
          </cell>
        </row>
        <row r="15">
          <cell r="AA15">
            <v>269980771.1600001</v>
          </cell>
        </row>
        <row r="16">
          <cell r="AA16">
            <v>207394887.54</v>
          </cell>
        </row>
        <row r="17">
          <cell r="AA17">
            <v>13137829.189570777</v>
          </cell>
        </row>
        <row r="20">
          <cell r="AA20">
            <v>1934287.42</v>
          </cell>
        </row>
        <row r="21">
          <cell r="AA21">
            <v>-64192149.47999999</v>
          </cell>
        </row>
        <row r="22">
          <cell r="AA22">
            <v>52803546.093</v>
          </cell>
        </row>
        <row r="23">
          <cell r="AA23">
            <v>-17309033.9</v>
          </cell>
        </row>
        <row r="24">
          <cell r="AA24">
            <v>-695313.63</v>
          </cell>
        </row>
        <row r="25">
          <cell r="AA25">
            <v>-10452.21</v>
          </cell>
        </row>
        <row r="26">
          <cell r="AA26">
            <v>6630777.71</v>
          </cell>
        </row>
        <row r="27">
          <cell r="AA27">
            <v>-9149629.92</v>
          </cell>
        </row>
        <row r="29">
          <cell r="AA29">
            <v>-10268831.599999998</v>
          </cell>
        </row>
        <row r="30">
          <cell r="AA30">
            <v>31390394.362452272</v>
          </cell>
        </row>
        <row r="31">
          <cell r="AA31">
            <v>-21993216.560000002</v>
          </cell>
        </row>
        <row r="34">
          <cell r="AA34">
            <v>140200853.49999997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Kontroll"/>
      <sheetName val="Tallinn"/>
      <sheetName val="Harju"/>
      <sheetName val="Hiiu"/>
      <sheetName val="I-Viru"/>
      <sheetName val="Jõgeva"/>
      <sheetName val="Järva"/>
      <sheetName val="Lääne"/>
      <sheetName val="L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9">
        <row r="4">
          <cell r="AA4">
            <v>500036726.78</v>
          </cell>
        </row>
        <row r="5">
          <cell r="AA5">
            <v>34104249.43</v>
          </cell>
        </row>
        <row r="6">
          <cell r="AA6">
            <v>7879139.51</v>
          </cell>
        </row>
        <row r="7">
          <cell r="AA7">
            <v>116993268.82999998</v>
          </cell>
        </row>
        <row r="9">
          <cell r="AA9">
            <v>59660941.03000001</v>
          </cell>
        </row>
        <row r="10">
          <cell r="AA10">
            <v>169534539.38</v>
          </cell>
        </row>
        <row r="11">
          <cell r="AA11">
            <v>43063434.88</v>
          </cell>
        </row>
        <row r="12">
          <cell r="AA12">
            <v>18488811.14</v>
          </cell>
        </row>
        <row r="14">
          <cell r="AA14">
            <v>115240024.05999999</v>
          </cell>
        </row>
        <row r="15">
          <cell r="AA15">
            <v>398293520.0900002</v>
          </cell>
        </row>
        <row r="16">
          <cell r="AA16">
            <v>297727851.68</v>
          </cell>
        </row>
        <row r="17">
          <cell r="AA17">
            <v>21587110.299000002</v>
          </cell>
        </row>
        <row r="20">
          <cell r="AA20">
            <v>6956967.38</v>
          </cell>
        </row>
        <row r="21">
          <cell r="AA21">
            <v>-139287376.08</v>
          </cell>
        </row>
        <row r="22">
          <cell r="AA22">
            <v>96028300.95999998</v>
          </cell>
        </row>
        <row r="23">
          <cell r="AA23">
            <v>-32624332.659999996</v>
          </cell>
        </row>
        <row r="24">
          <cell r="AA24">
            <v>2070269.8800000004</v>
          </cell>
        </row>
        <row r="25">
          <cell r="AA25">
            <v>-2055.3800000000047</v>
          </cell>
        </row>
        <row r="26">
          <cell r="AA26">
            <v>7907783.240000001</v>
          </cell>
        </row>
        <row r="27">
          <cell r="AA27">
            <v>-13716047.690000001</v>
          </cell>
        </row>
        <row r="29">
          <cell r="AA29">
            <v>-2112208.2600000026</v>
          </cell>
        </row>
        <row r="30">
          <cell r="AA30">
            <v>39262073.979999974</v>
          </cell>
        </row>
        <row r="31">
          <cell r="AA31">
            <v>-2871832.26</v>
          </cell>
        </row>
        <row r="34">
          <cell r="AA34">
            <v>148074087.85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D4">
            <v>360107963.62</v>
          </cell>
        </row>
        <row r="5">
          <cell r="AD5">
            <v>32129610.419999998</v>
          </cell>
        </row>
        <row r="6">
          <cell r="AD6">
            <v>5543129.149999999</v>
          </cell>
        </row>
        <row r="7">
          <cell r="AD7">
            <v>75981686.08999999</v>
          </cell>
        </row>
        <row r="9">
          <cell r="AD9">
            <v>124237131.04999998</v>
          </cell>
        </row>
        <row r="10">
          <cell r="AD10">
            <v>63696410.890000015</v>
          </cell>
        </row>
        <row r="11">
          <cell r="AD11">
            <v>37099610.92</v>
          </cell>
        </row>
        <row r="12">
          <cell r="AD12">
            <v>11072539.680000002</v>
          </cell>
        </row>
        <row r="14">
          <cell r="AD14">
            <v>87625005.71000001</v>
          </cell>
        </row>
        <row r="15">
          <cell r="AD15">
            <v>297710044.9999999</v>
          </cell>
        </row>
        <row r="16">
          <cell r="AD16">
            <v>225905928.59000003</v>
          </cell>
        </row>
        <row r="17">
          <cell r="AD17">
            <v>10968301.45</v>
          </cell>
        </row>
        <row r="20">
          <cell r="AD20">
            <v>5174480.33</v>
          </cell>
        </row>
        <row r="21">
          <cell r="AD21">
            <v>-90997906.16</v>
          </cell>
        </row>
        <row r="22">
          <cell r="AD22">
            <v>59719695.97</v>
          </cell>
        </row>
        <row r="23">
          <cell r="AD23">
            <v>-12157147.549999997</v>
          </cell>
        </row>
        <row r="24">
          <cell r="AD24">
            <v>-5829430.8</v>
          </cell>
        </row>
        <row r="25">
          <cell r="AD25">
            <v>-1074420.02</v>
          </cell>
        </row>
        <row r="26">
          <cell r="AD26">
            <v>6703486.14</v>
          </cell>
        </row>
        <row r="27">
          <cell r="AD27">
            <v>-6394347.160000001</v>
          </cell>
        </row>
        <row r="29">
          <cell r="AD29">
            <v>-4387347.57</v>
          </cell>
        </row>
        <row r="30">
          <cell r="AD30">
            <v>30194389.430000003</v>
          </cell>
        </row>
        <row r="31">
          <cell r="AD31">
            <v>-8221474.819999977</v>
          </cell>
        </row>
        <row r="34">
          <cell r="AD34">
            <v>142140697.29000002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D4">
            <v>542975166.12</v>
          </cell>
        </row>
        <row r="5">
          <cell r="AD5">
            <v>32240297.09</v>
          </cell>
        </row>
        <row r="6">
          <cell r="AD6">
            <v>8118558.770000001</v>
          </cell>
        </row>
        <row r="7">
          <cell r="AD7">
            <v>108558754.68000004</v>
          </cell>
        </row>
        <row r="9">
          <cell r="AD9">
            <v>151409431.38</v>
          </cell>
        </row>
        <row r="10">
          <cell r="AD10">
            <v>92399901.46</v>
          </cell>
        </row>
        <row r="11">
          <cell r="AD11">
            <v>45911732.769999996</v>
          </cell>
        </row>
        <row r="12">
          <cell r="AD12">
            <v>15788627.61</v>
          </cell>
        </row>
        <row r="14">
          <cell r="AD14">
            <v>122284351.72000001</v>
          </cell>
        </row>
        <row r="15">
          <cell r="AD15">
            <v>423893016.9100001</v>
          </cell>
        </row>
        <row r="16">
          <cell r="AD16">
            <v>314199310.35</v>
          </cell>
        </row>
        <row r="17">
          <cell r="AD17">
            <v>16430955.030000009</v>
          </cell>
        </row>
        <row r="20">
          <cell r="AD20">
            <v>9568755.61</v>
          </cell>
        </row>
        <row r="21">
          <cell r="AD21">
            <v>-194893309.29</v>
          </cell>
        </row>
        <row r="22">
          <cell r="AD22">
            <v>99182263.6</v>
          </cell>
        </row>
        <row r="23">
          <cell r="AD23">
            <v>-27724327.369999994</v>
          </cell>
        </row>
        <row r="24">
          <cell r="AD24">
            <v>-11152441.1</v>
          </cell>
        </row>
        <row r="25">
          <cell r="AD25">
            <v>-3012700.5</v>
          </cell>
        </row>
        <row r="26">
          <cell r="AD26">
            <v>6807427.640000002</v>
          </cell>
        </row>
        <row r="27">
          <cell r="AD27">
            <v>-9833915.530000003</v>
          </cell>
        </row>
        <row r="29">
          <cell r="AD29">
            <v>38675859.61000001</v>
          </cell>
        </row>
        <row r="30">
          <cell r="AD30">
            <v>34163119.34000001</v>
          </cell>
        </row>
        <row r="31">
          <cell r="AD31">
            <v>5950670.800000652</v>
          </cell>
        </row>
        <row r="34">
          <cell r="AD34">
            <v>146135772.84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isuotsused 00-13"/>
      <sheetName val="KOV toetused liigiti 96-17"/>
      <sheetName val="Riigieelarve 2003-2017"/>
      <sheetName val="KOV koondnumbrid 96-17"/>
      <sheetName val="RES 2011-2017 alus"/>
      <sheetName val="English ver"/>
      <sheetName val="KOV rahad 96-17 suur tabel"/>
      <sheetName val="RES 2011-2016 alus"/>
      <sheetName val="Sheet1"/>
      <sheetName val="KOV koondnumbrid 96-16"/>
    </sheetNames>
    <sheetDataSet>
      <sheetData sheetId="3">
        <row r="24">
          <cell r="J24">
            <v>-41.804609308092495</v>
          </cell>
          <cell r="K24">
            <v>-38.628200375800496</v>
          </cell>
          <cell r="L24">
            <v>-21.461531578745543</v>
          </cell>
          <cell r="M24">
            <v>-72.06677489039151</v>
          </cell>
          <cell r="N24">
            <v>-103.56243528945586</v>
          </cell>
          <cell r="O24">
            <v>-61.03562435289456</v>
          </cell>
          <cell r="P24">
            <v>29.1</v>
          </cell>
          <cell r="Q24">
            <v>16.9</v>
          </cell>
          <cell r="R24">
            <v>-38.7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Lääne"/>
      <sheetName val="Lääne-Viru"/>
      <sheetName val="Jõgeva"/>
      <sheetName val="Järva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</sheetNames>
    <sheetDataSet>
      <sheetData sheetId="17">
        <row r="45">
          <cell r="H45">
            <v>141279922.08999997</v>
          </cell>
        </row>
        <row r="68">
          <cell r="H68">
            <v>43523042.18</v>
          </cell>
        </row>
        <row r="89">
          <cell r="H89">
            <v>615444.34</v>
          </cell>
        </row>
        <row r="96">
          <cell r="H96">
            <v>1963017.4</v>
          </cell>
        </row>
        <row r="97">
          <cell r="H97">
            <v>218821</v>
          </cell>
        </row>
        <row r="98">
          <cell r="H98">
            <v>302076</v>
          </cell>
        </row>
        <row r="99">
          <cell r="H99">
            <v>1913381.06</v>
          </cell>
        </row>
        <row r="101">
          <cell r="H101">
            <v>49867889.02</v>
          </cell>
        </row>
        <row r="108">
          <cell r="H108">
            <v>35384576.23000001</v>
          </cell>
        </row>
        <row r="114">
          <cell r="H114">
            <v>32413218.56</v>
          </cell>
        </row>
        <row r="122">
          <cell r="H122">
            <v>45903006.21000001</v>
          </cell>
        </row>
        <row r="127">
          <cell r="H127">
            <v>236606105.34</v>
          </cell>
        </row>
        <row r="147">
          <cell r="H147">
            <v>21846022.35</v>
          </cell>
        </row>
        <row r="185">
          <cell r="H185">
            <v>1043436599.8100002</v>
          </cell>
        </row>
        <row r="197">
          <cell r="H197">
            <v>23095112.59</v>
          </cell>
        </row>
        <row r="216">
          <cell r="H216">
            <v>-53497572.01</v>
          </cell>
        </row>
        <row r="220">
          <cell r="H220">
            <v>-47150</v>
          </cell>
        </row>
        <row r="221">
          <cell r="H221">
            <v>31380468.599999998</v>
          </cell>
        </row>
        <row r="225">
          <cell r="H225">
            <v>1035134.8999999999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isuotsused 00-14"/>
      <sheetName val="KOV toetused liigiti 96-18"/>
      <sheetName val="Riigieelarve 2003-2018"/>
      <sheetName val="KOV koondnumbrid 96-17"/>
      <sheetName val="RES 2011-2018 alus"/>
      <sheetName val="English ver"/>
    </sheetNames>
    <sheetDataSet>
      <sheetData sheetId="3">
        <row r="24">
          <cell r="S24">
            <v>-82.7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Kontroll"/>
      <sheetName val="Tallinn"/>
      <sheetName val="Harju"/>
      <sheetName val="Hiiu"/>
      <sheetName val="I-Viru"/>
      <sheetName val="Jõgeva"/>
      <sheetName val="Järva"/>
      <sheetName val="Lääne"/>
      <sheetName val="L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8">
        <row r="40">
          <cell r="E40">
            <v>104784.75</v>
          </cell>
        </row>
        <row r="41">
          <cell r="E41">
            <v>-3065596.23</v>
          </cell>
        </row>
        <row r="42">
          <cell r="E42">
            <v>4801997.45</v>
          </cell>
        </row>
        <row r="43">
          <cell r="E43">
            <v>-2033951.98</v>
          </cell>
        </row>
        <row r="44">
          <cell r="E44">
            <v>101860.59999999999</v>
          </cell>
        </row>
        <row r="45">
          <cell r="E45">
            <v>-581934.25</v>
          </cell>
        </row>
        <row r="50">
          <cell r="E50">
            <v>64561677.87999999</v>
          </cell>
        </row>
        <row r="51">
          <cell r="E51">
            <v>-65774229.010000005</v>
          </cell>
        </row>
        <row r="52">
          <cell r="E52">
            <v>3049848.5500000063</v>
          </cell>
        </row>
        <row r="53">
          <cell r="E53">
            <v>6165060.529999999</v>
          </cell>
        </row>
        <row r="56">
          <cell r="E56">
            <v>126057963.42379998</v>
          </cell>
        </row>
        <row r="63">
          <cell r="E63">
            <v>10615.93</v>
          </cell>
        </row>
        <row r="64">
          <cell r="E64">
            <v>4972986.139999998</v>
          </cell>
        </row>
        <row r="68">
          <cell r="E68">
            <v>230105909.51999995</v>
          </cell>
        </row>
        <row r="85">
          <cell r="E85">
            <v>44444477.93</v>
          </cell>
        </row>
        <row r="91">
          <cell r="E91">
            <v>107401693.27</v>
          </cell>
        </row>
        <row r="98">
          <cell r="E98">
            <v>10223308.030000001</v>
          </cell>
        </row>
        <row r="105">
          <cell r="E105">
            <v>166295396.67299998</v>
          </cell>
        </row>
        <row r="129">
          <cell r="E129">
            <v>614205536.3700002</v>
          </cell>
        </row>
        <row r="143">
          <cell r="E143">
            <v>123074065.35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G4">
            <v>195739485.41000003</v>
          </cell>
        </row>
        <row r="5">
          <cell r="AG5">
            <v>15327652.12</v>
          </cell>
        </row>
        <row r="6">
          <cell r="AG6">
            <v>2983204.25</v>
          </cell>
        </row>
        <row r="7">
          <cell r="AG7">
            <v>40892386.92</v>
          </cell>
        </row>
        <row r="9">
          <cell r="AG9">
            <v>51180800.71999999</v>
          </cell>
        </row>
        <row r="10">
          <cell r="AG10">
            <v>39759015.04</v>
          </cell>
        </row>
        <row r="11">
          <cell r="AG11">
            <v>23427684.26</v>
          </cell>
        </row>
        <row r="12">
          <cell r="AG12">
            <v>4026437.54</v>
          </cell>
        </row>
        <row r="14">
          <cell r="AG14">
            <v>46417170.08</v>
          </cell>
        </row>
        <row r="15">
          <cell r="AG15">
            <v>146461496.26000002</v>
          </cell>
        </row>
        <row r="16">
          <cell r="AG16">
            <v>111226755.31999996</v>
          </cell>
        </row>
        <row r="17">
          <cell r="AG17">
            <v>5763561.930000001</v>
          </cell>
        </row>
        <row r="20">
          <cell r="AG20">
            <v>1349165.65</v>
          </cell>
        </row>
        <row r="21">
          <cell r="AG21">
            <v>-26801682.470000003</v>
          </cell>
        </row>
        <row r="22">
          <cell r="AG22">
            <v>28071022.179999996</v>
          </cell>
        </row>
        <row r="23">
          <cell r="AG23">
            <v>-4888564.84</v>
          </cell>
        </row>
        <row r="24">
          <cell r="AG24">
            <v>-1861032.6099999999</v>
          </cell>
        </row>
        <row r="25">
          <cell r="AG25">
            <v>-758501.45</v>
          </cell>
        </row>
        <row r="26">
          <cell r="AG26">
            <v>80039.23999999999</v>
          </cell>
        </row>
        <row r="27">
          <cell r="AG27">
            <v>-3691508.1999999993</v>
          </cell>
        </row>
        <row r="29">
          <cell r="AG29">
            <v>18636517.730000008</v>
          </cell>
        </row>
        <row r="30">
          <cell r="AG30">
            <v>49914183.34000001</v>
          </cell>
        </row>
        <row r="31">
          <cell r="AG31">
            <v>-23688954.56000007</v>
          </cell>
        </row>
        <row r="34">
          <cell r="AG34">
            <v>148774984.14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</sheetNames>
    <sheetDataSet>
      <sheetData sheetId="18">
        <row r="45">
          <cell r="H45">
            <v>105925911.35</v>
          </cell>
        </row>
        <row r="68">
          <cell r="H68">
            <v>295818092.69</v>
          </cell>
        </row>
        <row r="89">
          <cell r="H89">
            <v>28785.75</v>
          </cell>
        </row>
        <row r="96">
          <cell r="H96">
            <v>383053.3</v>
          </cell>
        </row>
        <row r="97">
          <cell r="H97">
            <v>493318.52</v>
          </cell>
        </row>
        <row r="98">
          <cell r="H98">
            <v>1285426.29</v>
          </cell>
        </row>
        <row r="99">
          <cell r="H99">
            <v>882957.2799999999</v>
          </cell>
        </row>
        <row r="101">
          <cell r="H101">
            <v>87207357.86000003</v>
          </cell>
        </row>
        <row r="108">
          <cell r="H108">
            <v>42095016.77</v>
          </cell>
        </row>
        <row r="114">
          <cell r="H114">
            <v>36326934.68</v>
          </cell>
        </row>
        <row r="122">
          <cell r="H122">
            <v>22758674.65</v>
          </cell>
        </row>
        <row r="127">
          <cell r="H127">
            <v>458072418.46999997</v>
          </cell>
        </row>
        <row r="149">
          <cell r="H149">
            <v>66214116.03</v>
          </cell>
        </row>
        <row r="187">
          <cell r="H187">
            <v>6430487.57</v>
          </cell>
        </row>
        <row r="199">
          <cell r="H199">
            <v>33084790.75</v>
          </cell>
        </row>
        <row r="218">
          <cell r="H218">
            <v>-746156387.8299999</v>
          </cell>
        </row>
        <row r="222">
          <cell r="H222">
            <v>-266950</v>
          </cell>
        </row>
        <row r="223">
          <cell r="H223">
            <v>815208163.5999999</v>
          </cell>
        </row>
        <row r="227">
          <cell r="H227">
            <v>2125297.3</v>
          </cell>
        </row>
      </sheetData>
      <sheetData sheetId="19">
        <row r="4">
          <cell r="F4">
            <v>1869717.372</v>
          </cell>
        </row>
        <row r="5">
          <cell r="F5">
            <v>78578.8282</v>
          </cell>
        </row>
        <row r="6">
          <cell r="F6">
            <v>25572.73754</v>
          </cell>
        </row>
        <row r="7">
          <cell r="F7">
            <v>371116.274561</v>
          </cell>
        </row>
        <row r="8">
          <cell r="F8">
            <v>342928.011</v>
          </cell>
        </row>
        <row r="9">
          <cell r="F9">
            <v>791563.1616100001</v>
          </cell>
        </row>
        <row r="17">
          <cell r="F17">
            <v>1392072.7922999999</v>
          </cell>
        </row>
        <row r="18">
          <cell r="F18">
            <v>1295470.99999</v>
          </cell>
        </row>
        <row r="19">
          <cell r="F19">
            <v>314117.68214</v>
          </cell>
        </row>
        <row r="25">
          <cell r="F25">
            <v>-107114.20116000003</v>
          </cell>
        </row>
        <row r="26">
          <cell r="F26">
            <v>-498498.5216564642</v>
          </cell>
        </row>
        <row r="28">
          <cell r="F28">
            <v>1617598.1939950774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</sheetNames>
    <sheetDataSet>
      <sheetData sheetId="18">
        <row r="45">
          <cell r="H45">
            <v>261743789.49000004</v>
          </cell>
        </row>
        <row r="68">
          <cell r="H68">
            <v>474276726.18000007</v>
          </cell>
        </row>
        <row r="89">
          <cell r="H89">
            <v>304283.67000000004</v>
          </cell>
        </row>
        <row r="96">
          <cell r="H96">
            <v>2253380.4699999997</v>
          </cell>
        </row>
        <row r="97">
          <cell r="H97">
            <v>2454541.0300000003</v>
          </cell>
        </row>
        <row r="98">
          <cell r="H98">
            <v>757818.4199999999</v>
          </cell>
        </row>
        <row r="99">
          <cell r="H99">
            <v>3224018.0900000003</v>
          </cell>
        </row>
        <row r="101">
          <cell r="H101">
            <v>1282270146.0800002</v>
          </cell>
        </row>
        <row r="108">
          <cell r="H108">
            <v>151801199.88</v>
          </cell>
        </row>
        <row r="114">
          <cell r="H114">
            <v>77016962.04</v>
          </cell>
        </row>
        <row r="122">
          <cell r="H122">
            <v>49992329.13999999</v>
          </cell>
        </row>
        <row r="127">
          <cell r="H127">
            <v>902595227.64</v>
          </cell>
        </row>
        <row r="149">
          <cell r="H149">
            <v>123354171.41999997</v>
          </cell>
        </row>
        <row r="187">
          <cell r="H187">
            <v>15257207.760000002</v>
          </cell>
        </row>
        <row r="199">
          <cell r="H199">
            <v>66511458.51999999</v>
          </cell>
        </row>
        <row r="218">
          <cell r="H218">
            <v>-2269768731.4299994</v>
          </cell>
        </row>
        <row r="222">
          <cell r="H222">
            <v>-620450</v>
          </cell>
        </row>
        <row r="223">
          <cell r="H223">
            <v>2634276354.4400005</v>
          </cell>
        </row>
        <row r="227">
          <cell r="H227">
            <v>4726736.609999999</v>
          </cell>
        </row>
      </sheetData>
      <sheetData sheetId="19">
        <row r="4">
          <cell r="F4">
            <v>3731194.0934099997</v>
          </cell>
        </row>
        <row r="5">
          <cell r="F5">
            <v>301519.887</v>
          </cell>
        </row>
        <row r="6">
          <cell r="F6">
            <v>58505.591029999996</v>
          </cell>
        </row>
        <row r="7">
          <cell r="F7">
            <v>799887.06162</v>
          </cell>
        </row>
        <row r="8">
          <cell r="F8">
            <v>757987.704</v>
          </cell>
        </row>
        <row r="9">
          <cell r="F9">
            <v>1782566.13451</v>
          </cell>
        </row>
        <row r="17">
          <cell r="F17">
            <v>3287017.903053</v>
          </cell>
        </row>
        <row r="18">
          <cell r="F18">
            <v>2673876.848267999</v>
          </cell>
        </row>
        <row r="19">
          <cell r="F19">
            <v>1071872.91937</v>
          </cell>
        </row>
        <row r="25">
          <cell r="F25">
            <v>-387825.20168999996</v>
          </cell>
        </row>
        <row r="26">
          <cell r="F26">
            <v>-1620289.56023</v>
          </cell>
        </row>
        <row r="28">
          <cell r="F28">
            <v>2744613.737484078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G4">
            <v>392509344.94</v>
          </cell>
        </row>
        <row r="5">
          <cell r="AG5">
            <v>32732182.15</v>
          </cell>
        </row>
        <row r="6">
          <cell r="AG6">
            <v>5741435.42</v>
          </cell>
        </row>
        <row r="7">
          <cell r="AG7">
            <v>82304440.11</v>
          </cell>
        </row>
        <row r="9">
          <cell r="AG9">
            <v>107124026.48</v>
          </cell>
        </row>
        <row r="10">
          <cell r="AG10">
            <v>84475701.05999999</v>
          </cell>
        </row>
        <row r="11">
          <cell r="AG11">
            <v>36342486.449999996</v>
          </cell>
        </row>
        <row r="12">
          <cell r="AG12">
            <v>8184464.88</v>
          </cell>
        </row>
        <row r="14">
          <cell r="AG14">
            <v>89876129.41</v>
          </cell>
        </row>
        <row r="15">
          <cell r="AG15">
            <v>322932489.40000004</v>
          </cell>
        </row>
        <row r="16">
          <cell r="AG16">
            <v>224937954.60000002</v>
          </cell>
        </row>
        <row r="17">
          <cell r="AG17">
            <v>11385643.219999993</v>
          </cell>
        </row>
        <row r="20">
          <cell r="AG20">
            <v>3224046.8800000004</v>
          </cell>
        </row>
        <row r="21">
          <cell r="AG21">
            <v>-60931626.440000005</v>
          </cell>
        </row>
        <row r="22">
          <cell r="AG22">
            <v>38354865.83</v>
          </cell>
        </row>
        <row r="23">
          <cell r="AG23">
            <v>-13232307.62</v>
          </cell>
        </row>
        <row r="24">
          <cell r="AG24">
            <v>-2991714.73</v>
          </cell>
        </row>
        <row r="25">
          <cell r="AG25">
            <v>-1204760.9</v>
          </cell>
        </row>
        <row r="26">
          <cell r="AG26">
            <v>19489907.970000003</v>
          </cell>
        </row>
        <row r="27">
          <cell r="AG27">
            <v>-6881968.739999997</v>
          </cell>
        </row>
        <row r="29">
          <cell r="AG29">
            <v>12585790.549999997</v>
          </cell>
        </row>
        <row r="30">
          <cell r="AG30">
            <v>57634701.51</v>
          </cell>
        </row>
        <row r="31">
          <cell r="AG31">
            <v>-31059396.150000013</v>
          </cell>
        </row>
        <row r="34">
          <cell r="AG34">
            <v>156538421.69000003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G4">
            <v>591510788.36</v>
          </cell>
        </row>
        <row r="5">
          <cell r="AG5">
            <v>32947944.04</v>
          </cell>
        </row>
        <row r="6">
          <cell r="AG6">
            <v>8886489.18</v>
          </cell>
        </row>
        <row r="7">
          <cell r="AG7">
            <v>117034846.60999994</v>
          </cell>
        </row>
        <row r="9">
          <cell r="AG9">
            <v>138572777.29</v>
          </cell>
        </row>
        <row r="10">
          <cell r="AG10">
            <v>111347038.61</v>
          </cell>
        </row>
        <row r="11">
          <cell r="AG11">
            <v>41250015.79</v>
          </cell>
        </row>
        <row r="12">
          <cell r="AG12">
            <v>12703346.529999997</v>
          </cell>
        </row>
        <row r="14">
          <cell r="AG14">
            <v>128746046.67999999</v>
          </cell>
        </row>
        <row r="15">
          <cell r="AG15">
            <v>458706103.30999994</v>
          </cell>
        </row>
        <row r="16">
          <cell r="AG16">
            <v>315054372.73</v>
          </cell>
        </row>
        <row r="17">
          <cell r="AG17">
            <v>16114135.889999999</v>
          </cell>
        </row>
        <row r="20">
          <cell r="AG20">
            <v>4756925.590000001</v>
          </cell>
        </row>
        <row r="21">
          <cell r="AG21">
            <v>-129621045.01000005</v>
          </cell>
        </row>
        <row r="22">
          <cell r="AG22">
            <v>58201472.529999994</v>
          </cell>
        </row>
        <row r="23">
          <cell r="AG23">
            <v>-25413065.240000002</v>
          </cell>
        </row>
        <row r="24">
          <cell r="AG24">
            <v>-5724427.279999999</v>
          </cell>
        </row>
        <row r="25">
          <cell r="AG25">
            <v>-1940156.17</v>
          </cell>
        </row>
        <row r="26">
          <cell r="AG26">
            <v>19639066.4</v>
          </cell>
        </row>
        <row r="27">
          <cell r="AG27">
            <v>-10636211.530000001</v>
          </cell>
        </row>
        <row r="29">
          <cell r="AG29">
            <v>8574147.00999999</v>
          </cell>
        </row>
        <row r="30">
          <cell r="AG30">
            <v>32381622.579999994</v>
          </cell>
        </row>
        <row r="31">
          <cell r="AG31">
            <v>-21087671.51999991</v>
          </cell>
        </row>
        <row r="34">
          <cell r="AG34">
            <v>131385504.30000004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isuotsused"/>
      <sheetName val="KOV toetused liigiti"/>
      <sheetName val="Riigieelarve"/>
      <sheetName val="Võrdlusstatistika"/>
      <sheetName val="RES 2011-2019 alus"/>
      <sheetName val="English ver"/>
      <sheetName val="RES 2011-2018 alus"/>
    </sheetNames>
    <sheetDataSet>
      <sheetData sheetId="3">
        <row r="24">
          <cell r="T24">
            <v>-18.9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G4">
            <v>790533051.76</v>
          </cell>
        </row>
        <row r="5">
          <cell r="AG5">
            <v>58357715.61</v>
          </cell>
        </row>
        <row r="6">
          <cell r="AG6">
            <v>12275329.05</v>
          </cell>
        </row>
        <row r="7">
          <cell r="AG7">
            <v>161545326.23999998</v>
          </cell>
        </row>
        <row r="9">
          <cell r="AG9">
            <v>74868439.69</v>
          </cell>
        </row>
        <row r="10">
          <cell r="AG10">
            <v>232568419.35000002</v>
          </cell>
        </row>
        <row r="11">
          <cell r="AG11">
            <v>57584794.489999995</v>
          </cell>
        </row>
        <row r="12">
          <cell r="AG12">
            <v>18486313.390000004</v>
          </cell>
        </row>
        <row r="14">
          <cell r="AG14">
            <v>172085711.27000004</v>
          </cell>
        </row>
        <row r="15">
          <cell r="AG15">
            <v>628004659.3599998</v>
          </cell>
        </row>
        <row r="16">
          <cell r="AG16">
            <v>443270957.2600001</v>
          </cell>
        </row>
        <row r="17">
          <cell r="AG17">
            <v>26200531.069999993</v>
          </cell>
        </row>
        <row r="20">
          <cell r="AG20">
            <v>8986204.840000002</v>
          </cell>
        </row>
        <row r="21">
          <cell r="AG21">
            <v>-194202692.89000002</v>
          </cell>
        </row>
        <row r="22">
          <cell r="AG22">
            <v>85670093.34999998</v>
          </cell>
        </row>
        <row r="23">
          <cell r="AG23">
            <v>-33466396.35</v>
          </cell>
        </row>
        <row r="24">
          <cell r="AG24">
            <v>-7272479.6</v>
          </cell>
        </row>
        <row r="25">
          <cell r="AG25">
            <v>-1752685.78</v>
          </cell>
        </row>
        <row r="26">
          <cell r="AG26">
            <v>19886120.439999994</v>
          </cell>
        </row>
        <row r="27">
          <cell r="AG27">
            <v>-13915359.69</v>
          </cell>
        </row>
        <row r="29">
          <cell r="AG29">
            <v>72111501.70999998</v>
          </cell>
        </row>
        <row r="30">
          <cell r="AG30">
            <v>62501977.18000002</v>
          </cell>
        </row>
        <row r="31">
          <cell r="AG31">
            <v>-10199859.470000282</v>
          </cell>
        </row>
        <row r="34">
          <cell r="AG34">
            <v>161316149.35999998</v>
          </cell>
        </row>
      </sheetData>
      <sheetData sheetId="18">
        <row r="9">
          <cell r="BQ9">
            <v>790533051.76</v>
          </cell>
        </row>
        <row r="10">
          <cell r="BQ10">
            <v>70633044.66</v>
          </cell>
        </row>
        <row r="11">
          <cell r="BQ11">
            <v>161545326.23999998</v>
          </cell>
        </row>
        <row r="12">
          <cell r="BQ12">
            <v>74868439.69</v>
          </cell>
        </row>
        <row r="13">
          <cell r="BQ13">
            <v>232568419.35000002</v>
          </cell>
        </row>
        <row r="14">
          <cell r="BQ14">
            <v>85670093.34999998</v>
          </cell>
        </row>
        <row r="15">
          <cell r="BQ15">
            <v>57584794.489999995</v>
          </cell>
        </row>
        <row r="16">
          <cell r="BQ16">
            <v>8986204.840000002</v>
          </cell>
        </row>
        <row r="17">
          <cell r="BQ17">
            <v>38695930.809999995</v>
          </cell>
        </row>
        <row r="21">
          <cell r="BQ21">
            <v>628004659.3599998</v>
          </cell>
        </row>
        <row r="22">
          <cell r="BQ22">
            <v>443270957.2600001</v>
          </cell>
        </row>
        <row r="23">
          <cell r="BQ23">
            <v>194202692.89000002</v>
          </cell>
        </row>
        <row r="24">
          <cell r="BQ24">
            <v>33466396.35</v>
          </cell>
        </row>
        <row r="25">
          <cell r="BQ25">
            <v>172085711.27000004</v>
          </cell>
        </row>
        <row r="26">
          <cell r="BQ26">
            <v>13915359.69</v>
          </cell>
        </row>
        <row r="27">
          <cell r="BQ27">
            <v>95083750.85999998</v>
          </cell>
        </row>
        <row r="28">
          <cell r="BQ28">
            <v>35549193.42999999</v>
          </cell>
        </row>
        <row r="33">
          <cell r="BQ33">
            <v>136932137.3</v>
          </cell>
        </row>
        <row r="34">
          <cell r="BQ34">
            <v>319645573.5</v>
          </cell>
        </row>
        <row r="35">
          <cell r="BQ35">
            <v>122642119.76000002</v>
          </cell>
        </row>
        <row r="36">
          <cell r="BQ36">
            <v>664455213.45</v>
          </cell>
        </row>
        <row r="37">
          <cell r="BQ37">
            <v>207662573.43999997</v>
          </cell>
        </row>
        <row r="38">
          <cell r="BQ38">
            <v>69157352.8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J4">
            <v>205220847.19</v>
          </cell>
        </row>
        <row r="5">
          <cell r="AJ5">
            <v>15791413.14</v>
          </cell>
        </row>
        <row r="6">
          <cell r="AJ6">
            <v>3114096.1900000004</v>
          </cell>
        </row>
        <row r="7">
          <cell r="AJ7">
            <v>43668867.62</v>
          </cell>
        </row>
        <row r="9">
          <cell r="AJ9">
            <v>23821032.82</v>
          </cell>
        </row>
        <row r="10">
          <cell r="AJ10">
            <v>98342744.2</v>
          </cell>
        </row>
        <row r="11">
          <cell r="AJ11">
            <v>11444585.49</v>
          </cell>
        </row>
        <row r="12">
          <cell r="AJ12">
            <v>4633428.91</v>
          </cell>
        </row>
        <row r="14">
          <cell r="AJ14">
            <v>46139517.13999999</v>
          </cell>
        </row>
        <row r="15">
          <cell r="AJ15">
            <v>159207624.19</v>
          </cell>
        </row>
        <row r="16">
          <cell r="AJ16">
            <v>118832444.85000001</v>
          </cell>
        </row>
        <row r="17">
          <cell r="AJ17">
            <v>6348339.23</v>
          </cell>
        </row>
        <row r="20">
          <cell r="AJ20">
            <v>1497033.3</v>
          </cell>
        </row>
        <row r="21">
          <cell r="AJ21">
            <v>-24638197.220000003</v>
          </cell>
        </row>
        <row r="22">
          <cell r="AJ22">
            <v>14638677.59</v>
          </cell>
        </row>
        <row r="23">
          <cell r="AJ23">
            <v>-9418597.27</v>
          </cell>
        </row>
        <row r="24">
          <cell r="AJ24">
            <v>2123897.3</v>
          </cell>
        </row>
        <row r="25">
          <cell r="AJ25">
            <v>52679.04999999999</v>
          </cell>
        </row>
        <row r="26">
          <cell r="AJ26">
            <v>88881.3</v>
          </cell>
        </row>
        <row r="27">
          <cell r="AJ27">
            <v>-3314348</v>
          </cell>
        </row>
        <row r="29">
          <cell r="AJ29">
            <v>-35605256.70999999</v>
          </cell>
        </row>
        <row r="30">
          <cell r="AJ30">
            <v>-461428.1000000192</v>
          </cell>
        </row>
        <row r="31">
          <cell r="AJ31">
            <v>-21395287.59</v>
          </cell>
        </row>
        <row r="34">
          <cell r="AJ34">
            <v>160933664.11000004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Tegevus"/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</sheetNames>
    <sheetDataSet>
      <sheetData sheetId="21">
        <row r="45">
          <cell r="H45">
            <v>599957831.4900001</v>
          </cell>
        </row>
        <row r="68">
          <cell r="H68">
            <v>1164469453.89</v>
          </cell>
        </row>
        <row r="89">
          <cell r="H89">
            <v>1649122.31</v>
          </cell>
        </row>
        <row r="96">
          <cell r="H96">
            <v>3165493.25</v>
          </cell>
        </row>
        <row r="97">
          <cell r="H97">
            <v>2390623.6799999997</v>
          </cell>
        </row>
        <row r="98">
          <cell r="H98">
            <v>1426143.3</v>
          </cell>
        </row>
        <row r="99">
          <cell r="H99">
            <v>5150883.78</v>
          </cell>
        </row>
        <row r="101">
          <cell r="H101">
            <v>1549664782.15</v>
          </cell>
        </row>
        <row r="108">
          <cell r="H108">
            <v>298015833.63100004</v>
          </cell>
        </row>
        <row r="114">
          <cell r="H114">
            <v>184447460.771</v>
          </cell>
        </row>
        <row r="122">
          <cell r="H122">
            <v>123810711.47</v>
          </cell>
        </row>
        <row r="127">
          <cell r="H127">
            <v>1757848895.85</v>
          </cell>
        </row>
        <row r="149">
          <cell r="H149">
            <v>261740846.95000002</v>
          </cell>
        </row>
        <row r="187">
          <cell r="H187">
            <v>24460878.290000003</v>
          </cell>
        </row>
        <row r="199">
          <cell r="H199">
            <v>139497715.81</v>
          </cell>
        </row>
        <row r="218">
          <cell r="H218">
            <v>-873366348.86</v>
          </cell>
        </row>
        <row r="222">
          <cell r="H222">
            <v>-1659610</v>
          </cell>
        </row>
        <row r="223">
          <cell r="H223">
            <v>429138732.54999995</v>
          </cell>
        </row>
        <row r="227">
          <cell r="H227">
            <v>10585738.42</v>
          </cell>
        </row>
      </sheetData>
      <sheetData sheetId="22">
        <row r="4">
          <cell r="F4">
            <v>7833256.0469700005</v>
          </cell>
        </row>
        <row r="5">
          <cell r="F5">
            <v>517342.836</v>
          </cell>
        </row>
        <row r="6">
          <cell r="F6">
            <v>131964.79968999999</v>
          </cell>
        </row>
        <row r="7">
          <cell r="F7">
            <v>1634804.5934999997</v>
          </cell>
        </row>
        <row r="8">
          <cell r="F8">
            <v>1143826</v>
          </cell>
        </row>
        <row r="9">
          <cell r="F9">
            <v>3093078.363</v>
          </cell>
        </row>
        <row r="17">
          <cell r="F17">
            <v>6298183.639730001</v>
          </cell>
        </row>
        <row r="18">
          <cell r="F18">
            <v>5690083.333699998</v>
          </cell>
        </row>
        <row r="19">
          <cell r="F19">
            <v>3935748.9118376</v>
          </cell>
        </row>
        <row r="21">
          <cell r="F21">
            <v>489244.80283</v>
          </cell>
        </row>
        <row r="25">
          <cell r="F25">
            <v>443024.6836400002</v>
          </cell>
        </row>
        <row r="26">
          <cell r="F26">
            <v>-746192.0120513866</v>
          </cell>
        </row>
        <row r="28">
          <cell r="F28">
            <v>1820601.9237199998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J4">
            <v>415347863.53</v>
          </cell>
        </row>
        <row r="5">
          <cell r="AJ5">
            <v>32571638.05</v>
          </cell>
        </row>
        <row r="6">
          <cell r="AJ6">
            <v>6167686.59</v>
          </cell>
        </row>
        <row r="7">
          <cell r="AJ7">
            <v>87590929.24</v>
          </cell>
        </row>
        <row r="9">
          <cell r="AJ9">
            <v>50839891.06999999</v>
          </cell>
        </row>
        <row r="10">
          <cell r="AJ10">
            <v>177623018.15</v>
          </cell>
        </row>
        <row r="11">
          <cell r="AJ11">
            <v>25941411.01</v>
          </cell>
        </row>
        <row r="12">
          <cell r="AJ12">
            <v>8687939.05</v>
          </cell>
        </row>
        <row r="14">
          <cell r="AJ14">
            <v>90960942.85999998</v>
          </cell>
        </row>
        <row r="15">
          <cell r="AJ15">
            <v>348815224.62999994</v>
          </cell>
        </row>
        <row r="16">
          <cell r="AJ16">
            <v>235981713.01</v>
          </cell>
        </row>
        <row r="17">
          <cell r="AJ17">
            <v>12268185.819999998</v>
          </cell>
        </row>
        <row r="20">
          <cell r="AJ20">
            <v>4802043.48</v>
          </cell>
        </row>
        <row r="21">
          <cell r="AJ21">
            <v>-59639237.67999999</v>
          </cell>
        </row>
        <row r="22">
          <cell r="AJ22">
            <v>28272885.479999997</v>
          </cell>
        </row>
        <row r="23">
          <cell r="AJ23">
            <v>-14412949.39</v>
          </cell>
        </row>
        <row r="24">
          <cell r="AJ24">
            <v>-245561.7000000002</v>
          </cell>
        </row>
        <row r="25">
          <cell r="AJ25">
            <v>123165.15999999999</v>
          </cell>
        </row>
        <row r="26">
          <cell r="AJ26">
            <v>5523351.580000001</v>
          </cell>
        </row>
        <row r="27">
          <cell r="AJ27">
            <v>-5912706.369999998</v>
          </cell>
        </row>
        <row r="29">
          <cell r="AJ29">
            <v>-44363219.32999998</v>
          </cell>
        </row>
        <row r="30">
          <cell r="AJ30">
            <v>17271798.65999997</v>
          </cell>
        </row>
        <row r="31">
          <cell r="AJ31">
            <v>-13620282.940000053</v>
          </cell>
        </row>
        <row r="34">
          <cell r="AJ34">
            <v>178666871.71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7">
        <row r="4">
          <cell r="AJ4">
            <v>639070567.47</v>
          </cell>
        </row>
        <row r="5">
          <cell r="AJ5">
            <v>32844995.91</v>
          </cell>
        </row>
        <row r="6">
          <cell r="AJ6">
            <v>9497795.499999998</v>
          </cell>
        </row>
        <row r="7">
          <cell r="AJ7">
            <v>123920376.77</v>
          </cell>
        </row>
        <row r="9">
          <cell r="AJ9">
            <v>65021649.07000001</v>
          </cell>
        </row>
        <row r="10">
          <cell r="AJ10">
            <v>218693418.32999998</v>
          </cell>
        </row>
        <row r="11">
          <cell r="AJ11">
            <v>35667252.48</v>
          </cell>
        </row>
        <row r="12">
          <cell r="AJ12">
            <v>13440533.6</v>
          </cell>
        </row>
        <row r="14">
          <cell r="AJ14">
            <v>133596853.36000001</v>
          </cell>
        </row>
        <row r="15">
          <cell r="AJ15">
            <v>496668546.26</v>
          </cell>
        </row>
        <row r="16">
          <cell r="AJ16">
            <v>330126055.15000004</v>
          </cell>
        </row>
        <row r="17">
          <cell r="AJ17">
            <v>17130456.709999997</v>
          </cell>
        </row>
        <row r="20">
          <cell r="AJ20">
            <v>10137142.509999998</v>
          </cell>
        </row>
        <row r="21">
          <cell r="AJ21">
            <v>-125444193.71999994</v>
          </cell>
        </row>
        <row r="22">
          <cell r="AJ22">
            <v>43335633.169999994</v>
          </cell>
        </row>
        <row r="23">
          <cell r="AJ23">
            <v>-20489864.470000003</v>
          </cell>
        </row>
        <row r="24">
          <cell r="AJ24">
            <v>-2037769.1800000006</v>
          </cell>
        </row>
        <row r="25">
          <cell r="AJ25">
            <v>300793.97</v>
          </cell>
        </row>
        <row r="26">
          <cell r="AJ26">
            <v>7503696.130000001</v>
          </cell>
        </row>
        <row r="27">
          <cell r="AJ27">
            <v>-8925302.559999999</v>
          </cell>
        </row>
        <row r="29">
          <cell r="AJ29">
            <v>-40986841.050000004</v>
          </cell>
        </row>
        <row r="30">
          <cell r="AJ30">
            <v>11561662.219999993</v>
          </cell>
        </row>
        <row r="31">
          <cell r="AJ31">
            <v>-12466310.230000002</v>
          </cell>
        </row>
        <row r="34">
          <cell r="AJ34">
            <v>172954936.67999998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Päringuvorm"/>
      <sheetName val="Harju"/>
      <sheetName val="Hiiu"/>
      <sheetName val="Ida-Viru"/>
      <sheetName val="Järva"/>
      <sheetName val="Jõgeva"/>
      <sheetName val="Lääne"/>
      <sheetName val="Lääne-Viru"/>
      <sheetName val="Pärnu"/>
      <sheetName val="Põlva"/>
      <sheetName val="Rapla"/>
      <sheetName val="Saare"/>
      <sheetName val="Tartu"/>
      <sheetName val="Valga"/>
      <sheetName val="Viljandi"/>
      <sheetName val="Võru"/>
      <sheetName val="Koond"/>
      <sheetName val="Ülevaade Overview"/>
      <sheetName val="Ülevaade kuuliselt"/>
      <sheetName val="Joonised Charts"/>
    </sheetNames>
    <sheetDataSet>
      <sheetData sheetId="18">
        <row r="33">
          <cell r="BS33">
            <v>138656378.60000005</v>
          </cell>
        </row>
        <row r="34">
          <cell r="BS34">
            <v>301662350.06</v>
          </cell>
        </row>
        <row r="35">
          <cell r="BS35">
            <v>130258417.51000004</v>
          </cell>
        </row>
        <row r="36">
          <cell r="BS36">
            <v>721246802.63</v>
          </cell>
        </row>
        <row r="37">
          <cell r="BS37">
            <v>204501160.61</v>
          </cell>
        </row>
        <row r="38">
          <cell r="BS38">
            <v>72430748.65000002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Tegevus"/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</sheetNames>
    <sheetDataSet>
      <sheetData sheetId="21">
        <row r="45">
          <cell r="H45">
            <v>706461503.6800002</v>
          </cell>
        </row>
        <row r="68">
          <cell r="H68">
            <v>1264847381.76</v>
          </cell>
        </row>
        <row r="89">
          <cell r="H89">
            <v>27326456.82</v>
          </cell>
        </row>
        <row r="96">
          <cell r="H96">
            <v>2172218</v>
          </cell>
        </row>
        <row r="97">
          <cell r="H97">
            <v>2402062.01</v>
          </cell>
        </row>
        <row r="98">
          <cell r="H98">
            <v>618209.8</v>
          </cell>
        </row>
        <row r="99">
          <cell r="H99">
            <v>3399178.2</v>
          </cell>
        </row>
        <row r="108">
          <cell r="H108">
            <v>408162811.1</v>
          </cell>
        </row>
        <row r="114">
          <cell r="H114">
            <v>233457113.45</v>
          </cell>
        </row>
        <row r="122">
          <cell r="H122">
            <v>108001502.54000002</v>
          </cell>
        </row>
        <row r="127">
          <cell r="H127">
            <v>1806322731.06</v>
          </cell>
        </row>
        <row r="148">
          <cell r="H148">
            <v>231492557.48000002</v>
          </cell>
        </row>
        <row r="187">
          <cell r="H187">
            <v>504866518.00000066</v>
          </cell>
        </row>
        <row r="199">
          <cell r="H199">
            <v>196857871.62999997</v>
          </cell>
        </row>
        <row r="218">
          <cell r="H218">
            <v>-644677366.78</v>
          </cell>
        </row>
        <row r="222">
          <cell r="H222">
            <v>-574110</v>
          </cell>
        </row>
        <row r="223">
          <cell r="H223">
            <v>664296667.5999999</v>
          </cell>
        </row>
        <row r="227">
          <cell r="H227">
            <v>4882259.9799999995</v>
          </cell>
        </row>
      </sheetData>
      <sheetData sheetId="22">
        <row r="4">
          <cell r="G4">
            <v>9853693.81901</v>
          </cell>
        </row>
        <row r="5">
          <cell r="G5">
            <v>552445.22444</v>
          </cell>
        </row>
        <row r="6">
          <cell r="G6">
            <v>170325.19628</v>
          </cell>
        </row>
        <row r="7">
          <cell r="G7">
            <v>1787620.3101</v>
          </cell>
        </row>
        <row r="8">
          <cell r="G8">
            <v>1433800.645</v>
          </cell>
        </row>
        <row r="9">
          <cell r="G9">
            <v>3250741.784</v>
          </cell>
        </row>
        <row r="13">
          <cell r="G13">
            <v>576745.21601</v>
          </cell>
        </row>
        <row r="17">
          <cell r="G17">
            <v>7479262.6409</v>
          </cell>
        </row>
        <row r="18">
          <cell r="G18">
            <v>6374981.396953001</v>
          </cell>
        </row>
        <row r="19">
          <cell r="G19">
            <v>4053131.57221</v>
          </cell>
        </row>
        <row r="21">
          <cell r="G21">
            <v>-26856.88831</v>
          </cell>
        </row>
        <row r="25">
          <cell r="G25">
            <v>293350.94448</v>
          </cell>
        </row>
        <row r="26">
          <cell r="G26">
            <v>-19454.14498699991</v>
          </cell>
        </row>
        <row r="28">
          <cell r="G28">
            <v>1835813.08422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</sheetNames>
    <sheetDataSet>
      <sheetData sheetId="18">
        <row r="45">
          <cell r="H45">
            <v>123204370.50999999</v>
          </cell>
        </row>
        <row r="68">
          <cell r="H68">
            <v>414251742.17999995</v>
          </cell>
        </row>
        <row r="89">
          <cell r="H89">
            <v>888664.32</v>
          </cell>
        </row>
        <row r="96">
          <cell r="H96">
            <v>337194</v>
          </cell>
        </row>
        <row r="97">
          <cell r="H97">
            <v>358176.72</v>
          </cell>
        </row>
        <row r="98">
          <cell r="H98">
            <v>593702.45</v>
          </cell>
        </row>
        <row r="99">
          <cell r="H99">
            <v>758060.76</v>
          </cell>
        </row>
        <row r="101">
          <cell r="H101">
            <v>74443646.71999998</v>
          </cell>
        </row>
        <row r="108">
          <cell r="H108">
            <v>64751504.70999999</v>
          </cell>
        </row>
        <row r="114">
          <cell r="H114">
            <v>49285124.890000015</v>
          </cell>
        </row>
        <row r="122">
          <cell r="H122">
            <v>30501687.199999996</v>
          </cell>
        </row>
        <row r="127">
          <cell r="H127">
            <v>457907922.41</v>
          </cell>
        </row>
        <row r="148">
          <cell r="H148">
            <v>28313016.11</v>
          </cell>
        </row>
        <row r="187">
          <cell r="H187">
            <v>85450741.37000002</v>
          </cell>
        </row>
        <row r="199">
          <cell r="H199">
            <v>45503590.98</v>
          </cell>
        </row>
        <row r="218">
          <cell r="H218">
            <v>-374589513.27</v>
          </cell>
        </row>
        <row r="222">
          <cell r="H222">
            <v>-252000</v>
          </cell>
        </row>
        <row r="223">
          <cell r="H223">
            <v>195880400.75</v>
          </cell>
        </row>
        <row r="227">
          <cell r="H227">
            <v>1556102.45</v>
          </cell>
        </row>
      </sheetData>
      <sheetData sheetId="19">
        <row r="4">
          <cell r="G4">
            <v>2329800.084</v>
          </cell>
        </row>
        <row r="5">
          <cell r="G5">
            <v>70388.631</v>
          </cell>
        </row>
        <row r="6">
          <cell r="G6">
            <v>35069.14022</v>
          </cell>
        </row>
        <row r="7">
          <cell r="G7">
            <v>442178.39199000003</v>
          </cell>
        </row>
        <row r="8">
          <cell r="G8">
            <v>420154.58256999997</v>
          </cell>
        </row>
        <row r="9">
          <cell r="G9">
            <v>767004.76635</v>
          </cell>
        </row>
        <row r="17">
          <cell r="G17">
            <v>1635286.3359999997</v>
          </cell>
        </row>
        <row r="18">
          <cell r="G18">
            <v>1430366.3000100004</v>
          </cell>
        </row>
        <row r="19">
          <cell r="G19">
            <v>353711.64122999995</v>
          </cell>
        </row>
        <row r="21">
          <cell r="G21">
            <v>12965.656289999999</v>
          </cell>
        </row>
        <row r="25">
          <cell r="G25">
            <v>-137181.89614000006</v>
          </cell>
        </row>
        <row r="26">
          <cell r="G26">
            <v>-463532.4613250775</v>
          </cell>
        </row>
        <row r="28">
          <cell r="G28">
            <v>2279722.631675077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Tegevus"/>
      <sheetName val="T-K-F"/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  <sheetName val="Ülevaade Overview (2)"/>
      <sheetName val="Joonised Charts"/>
    </sheetNames>
    <sheetDataSet>
      <sheetData sheetId="21">
        <row r="45">
          <cell r="H45">
            <v>754392170.58</v>
          </cell>
        </row>
        <row r="68">
          <cell r="H68">
            <v>1395946776.38</v>
          </cell>
        </row>
        <row r="89">
          <cell r="H89">
            <v>5822733.11</v>
          </cell>
        </row>
        <row r="96">
          <cell r="H96">
            <v>2775857.7199999997</v>
          </cell>
        </row>
        <row r="97">
          <cell r="H97">
            <v>1275264</v>
          </cell>
        </row>
        <row r="98">
          <cell r="H98">
            <v>1035096.6499999999</v>
          </cell>
        </row>
        <row r="99">
          <cell r="H99">
            <v>3068333.83</v>
          </cell>
        </row>
        <row r="108">
          <cell r="H108">
            <v>458962426.94</v>
          </cell>
        </row>
        <row r="114">
          <cell r="H114">
            <v>250282187.88</v>
          </cell>
        </row>
        <row r="122">
          <cell r="H122">
            <v>100510991.35</v>
          </cell>
        </row>
        <row r="127">
          <cell r="H127">
            <v>2214400400.03</v>
          </cell>
        </row>
        <row r="148">
          <cell r="H148">
            <v>370310662.21000004</v>
          </cell>
        </row>
        <row r="187">
          <cell r="H187">
            <v>564490749.8800001</v>
          </cell>
        </row>
        <row r="199">
          <cell r="H199">
            <v>263211568.24</v>
          </cell>
        </row>
        <row r="218">
          <cell r="H218">
            <v>-838391791.5699999</v>
          </cell>
        </row>
        <row r="222">
          <cell r="H222">
            <v>-1988493</v>
          </cell>
        </row>
        <row r="223">
          <cell r="H223">
            <v>666431484.9799999</v>
          </cell>
        </row>
        <row r="227">
          <cell r="H227">
            <v>5246105.8100000005</v>
          </cell>
        </row>
      </sheetData>
      <sheetData sheetId="22">
        <row r="4">
          <cell r="Q4">
            <v>11487355.161779998</v>
          </cell>
        </row>
        <row r="5">
          <cell r="Q5">
            <v>755104.135</v>
          </cell>
        </row>
        <row r="6">
          <cell r="Q6">
            <v>184583.70444</v>
          </cell>
        </row>
        <row r="7">
          <cell r="Q7">
            <v>2197478.8956599995</v>
          </cell>
        </row>
        <row r="8">
          <cell r="Q8">
            <v>1436469.4681600002</v>
          </cell>
        </row>
        <row r="9">
          <cell r="Q9">
            <v>3753064.81363</v>
          </cell>
        </row>
        <row r="13">
          <cell r="Q13">
            <v>214917.72033</v>
          </cell>
        </row>
        <row r="17">
          <cell r="Q17">
            <v>8946015.982799996</v>
          </cell>
        </row>
        <row r="18">
          <cell r="Q18">
            <v>7423433.47932</v>
          </cell>
        </row>
        <row r="19">
          <cell r="Q19">
            <v>4333843.18376</v>
          </cell>
        </row>
        <row r="21">
          <cell r="Q21">
            <v>105197.68285</v>
          </cell>
        </row>
        <row r="25">
          <cell r="Q25">
            <v>937098.3424800002</v>
          </cell>
        </row>
        <row r="26">
          <cell r="Q26">
            <v>122296.09573000055</v>
          </cell>
        </row>
        <row r="28">
          <cell r="Q28">
            <v>1722095.7167899995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ulud-finants"/>
      <sheetName val="Tallinn"/>
      <sheetName val="Harju"/>
      <sheetName val="Hiiu"/>
      <sheetName val="Ida-Viru"/>
      <sheetName val="Jõgeva"/>
      <sheetName val="Järva"/>
      <sheetName val="Lääne"/>
      <sheetName val="Lääne-Viru"/>
      <sheetName val="Põlva"/>
      <sheetName val="Pärnu"/>
      <sheetName val="Rapla"/>
      <sheetName val="Saare"/>
      <sheetName val="Tartu"/>
      <sheetName val="Valga"/>
      <sheetName val="Viljandi"/>
      <sheetName val="Võru"/>
      <sheetName val="Kontroll"/>
      <sheetName val="Koond"/>
      <sheetName val="Ülevaade Overview"/>
    </sheetNames>
    <sheetDataSet>
      <sheetData sheetId="18">
        <row r="45">
          <cell r="H45">
            <v>127664072.60999998</v>
          </cell>
        </row>
        <row r="68">
          <cell r="H68">
            <v>384462986.14</v>
          </cell>
        </row>
        <row r="89">
          <cell r="H89">
            <v>139875.85</v>
          </cell>
        </row>
        <row r="96">
          <cell r="H96">
            <v>614433.5</v>
          </cell>
        </row>
        <row r="97">
          <cell r="H97">
            <v>346296</v>
          </cell>
        </row>
        <row r="98">
          <cell r="H98">
            <v>181943.85</v>
          </cell>
        </row>
        <row r="99">
          <cell r="H99">
            <v>1211966.68</v>
          </cell>
        </row>
        <row r="101">
          <cell r="H101">
            <v>26419778.63</v>
          </cell>
        </row>
        <row r="108">
          <cell r="H108">
            <v>81888636.13999999</v>
          </cell>
        </row>
        <row r="114">
          <cell r="H114">
            <v>58501077.38999999</v>
          </cell>
        </row>
        <row r="122">
          <cell r="H122">
            <v>26689418.779999997</v>
          </cell>
        </row>
        <row r="127">
          <cell r="H127">
            <v>544358841.8000001</v>
          </cell>
        </row>
        <row r="148">
          <cell r="H148">
            <v>36213933.46</v>
          </cell>
        </row>
        <row r="187">
          <cell r="H187">
            <v>123756154.64000006</v>
          </cell>
        </row>
        <row r="199">
          <cell r="H199">
            <v>67605590.26</v>
          </cell>
        </row>
        <row r="218">
          <cell r="H218">
            <v>-255574805.77</v>
          </cell>
        </row>
        <row r="222">
          <cell r="H222">
            <v>0</v>
          </cell>
        </row>
        <row r="223">
          <cell r="H223">
            <v>111608167.83999999</v>
          </cell>
        </row>
        <row r="227">
          <cell r="H227">
            <v>1516242.32</v>
          </cell>
        </row>
      </sheetData>
      <sheetData sheetId="19">
        <row r="4">
          <cell r="Q4">
            <v>2794115.80778</v>
          </cell>
        </row>
        <row r="5">
          <cell r="Q5">
            <v>148203.596</v>
          </cell>
        </row>
        <row r="6">
          <cell r="Q6">
            <v>43072.66711</v>
          </cell>
        </row>
        <row r="7">
          <cell r="Q7">
            <v>513822.00046999997</v>
          </cell>
        </row>
        <row r="8">
          <cell r="Q8">
            <v>421399.30932000006</v>
          </cell>
        </row>
        <row r="9">
          <cell r="Q9">
            <v>951848.60605</v>
          </cell>
        </row>
        <row r="17">
          <cell r="Q17">
            <v>1989099.17508</v>
          </cell>
        </row>
        <row r="18">
          <cell r="Q18">
            <v>1741931.586591</v>
          </cell>
        </row>
        <row r="19">
          <cell r="Q19">
            <v>656818.9392400001</v>
          </cell>
        </row>
        <row r="21">
          <cell r="Q21">
            <v>-42133.60554</v>
          </cell>
        </row>
        <row r="25">
          <cell r="Q25">
            <v>46269.27877000001</v>
          </cell>
        </row>
        <row r="26">
          <cell r="Q26">
            <v>-258680.14259999988</v>
          </cell>
        </row>
        <row r="28">
          <cell r="Q28">
            <v>2093691.6210799997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Q130"/>
  <sheetViews>
    <sheetView tabSelected="1" zoomScalePageLayoutView="0" workbookViewId="0" topLeftCell="A1">
      <pane xSplit="3" ySplit="2" topLeftCell="D3" activePane="bottomRight" state="frozen"/>
      <selection pane="topLeft" activeCell="C178" sqref="C178:C185"/>
      <selection pane="topRight" activeCell="C178" sqref="C178:C185"/>
      <selection pane="bottomLeft" activeCell="C178" sqref="C178:C185"/>
      <selection pane="bottomRight" activeCell="T12" sqref="T12"/>
    </sheetView>
  </sheetViews>
  <sheetFormatPr defaultColWidth="9.140625" defaultRowHeight="12.75"/>
  <cols>
    <col min="1" max="1" width="0.2890625" style="0" customWidth="1"/>
    <col min="2" max="2" width="8.28125" style="0" customWidth="1"/>
    <col min="3" max="3" width="39.28125" style="0" customWidth="1"/>
    <col min="4" max="4" width="12.8515625" style="49" customWidth="1"/>
    <col min="5" max="5" width="12.28125" style="49" customWidth="1"/>
    <col min="6" max="6" width="11.8515625" style="49" customWidth="1"/>
    <col min="7" max="7" width="11.57421875" style="49" customWidth="1"/>
    <col min="8" max="9" width="12.7109375" style="49" customWidth="1"/>
    <col min="10" max="10" width="12.8515625" style="0" customWidth="1"/>
    <col min="11" max="11" width="13.00390625" style="0" customWidth="1"/>
    <col min="12" max="13" width="12.7109375" style="0" customWidth="1"/>
    <col min="14" max="14" width="13.7109375" style="0" customWidth="1"/>
    <col min="15" max="15" width="14.00390625" style="0" bestFit="1" customWidth="1"/>
  </cols>
  <sheetData>
    <row r="1" spans="1:14" s="1" customFormat="1" ht="18" customHeight="1" thickBot="1">
      <c r="A1" s="2"/>
      <c r="B1" s="2"/>
      <c r="C1" s="2"/>
      <c r="D1" s="122" t="s">
        <v>197</v>
      </c>
      <c r="E1" s="123"/>
      <c r="F1" s="122" t="s">
        <v>198</v>
      </c>
      <c r="G1" s="123"/>
      <c r="H1" s="122" t="s">
        <v>199</v>
      </c>
      <c r="I1" s="123"/>
      <c r="J1" s="124" t="s">
        <v>337</v>
      </c>
      <c r="K1" s="125"/>
      <c r="L1" s="119" t="s">
        <v>331</v>
      </c>
      <c r="M1" s="120"/>
      <c r="N1" s="121"/>
    </row>
    <row r="2" spans="1:14" s="1" customFormat="1" ht="42" customHeight="1" thickBot="1">
      <c r="A2" s="2"/>
      <c r="B2" s="2"/>
      <c r="C2" s="2"/>
      <c r="D2" s="108" t="s">
        <v>1</v>
      </c>
      <c r="E2" s="108" t="s">
        <v>2</v>
      </c>
      <c r="F2" s="108" t="s">
        <v>1</v>
      </c>
      <c r="G2" s="108" t="s">
        <v>2</v>
      </c>
      <c r="H2" s="108" t="s">
        <v>1</v>
      </c>
      <c r="I2" s="108" t="s">
        <v>2</v>
      </c>
      <c r="J2" s="105" t="s">
        <v>336</v>
      </c>
      <c r="K2" s="105" t="s">
        <v>0</v>
      </c>
      <c r="L2" s="118" t="s">
        <v>336</v>
      </c>
      <c r="M2" s="112" t="s">
        <v>332</v>
      </c>
      <c r="N2" s="113" t="s">
        <v>333</v>
      </c>
    </row>
    <row r="3" spans="1:14" s="1" customFormat="1" ht="18" customHeight="1" thickBot="1">
      <c r="A3" s="3">
        <v>1</v>
      </c>
      <c r="B3" s="71"/>
      <c r="C3" s="71" t="s">
        <v>3</v>
      </c>
      <c r="D3" s="107">
        <v>1887108.49</v>
      </c>
      <c r="E3" s="109">
        <v>1858356.94</v>
      </c>
      <c r="F3" s="107">
        <v>3846161.45</v>
      </c>
      <c r="G3" s="109">
        <v>3698522.27</v>
      </c>
      <c r="H3" s="107">
        <v>10447210</v>
      </c>
      <c r="I3" s="109">
        <v>10495186.09</v>
      </c>
      <c r="J3" s="104">
        <f>J4+J7+J8+J12</f>
        <v>16180479.94</v>
      </c>
      <c r="K3" s="106">
        <f>K4+K7+K8+K12</f>
        <v>16052065.299999999</v>
      </c>
      <c r="L3" s="91">
        <f>L4+L7+L8+L12</f>
        <v>17345990</v>
      </c>
      <c r="M3" s="91">
        <f>M4+M7+M8+M12</f>
        <v>1165510.06</v>
      </c>
      <c r="N3" s="91">
        <f>N4+N7+N8+N12</f>
        <v>1293924.7000000002</v>
      </c>
    </row>
    <row r="4" spans="1:14" s="1" customFormat="1" ht="18" customHeight="1" thickBot="1">
      <c r="A4" s="3">
        <v>2</v>
      </c>
      <c r="B4" s="4" t="s">
        <v>4</v>
      </c>
      <c r="C4" s="4" t="s">
        <v>5</v>
      </c>
      <c r="D4" s="59">
        <v>945400</v>
      </c>
      <c r="E4" s="60">
        <v>903916</v>
      </c>
      <c r="F4" s="59">
        <v>2220000</v>
      </c>
      <c r="G4" s="60">
        <v>2095374</v>
      </c>
      <c r="H4" s="59">
        <v>6117280</v>
      </c>
      <c r="I4" s="60">
        <v>6133329</v>
      </c>
      <c r="J4" s="65">
        <f>SUM(J5:J6)</f>
        <v>9282680</v>
      </c>
      <c r="K4" s="66">
        <f>SUM(K5:K6)</f>
        <v>9132619</v>
      </c>
      <c r="L4" s="115">
        <f>SUM(L5:L6)</f>
        <v>9516280</v>
      </c>
      <c r="M4" s="92">
        <f>SUM(M5:M6)</f>
        <v>233600</v>
      </c>
      <c r="N4" s="70">
        <f>SUM(N5:N6)</f>
        <v>383661</v>
      </c>
    </row>
    <row r="5" spans="1:14" s="1" customFormat="1" ht="18" customHeight="1">
      <c r="A5" s="3">
        <v>3</v>
      </c>
      <c r="B5" s="5" t="s">
        <v>6</v>
      </c>
      <c r="C5" s="5" t="s">
        <v>7</v>
      </c>
      <c r="D5" s="61">
        <v>835400</v>
      </c>
      <c r="E5" s="62">
        <v>792798</v>
      </c>
      <c r="F5" s="61">
        <v>2020000</v>
      </c>
      <c r="G5" s="62">
        <v>1893800</v>
      </c>
      <c r="H5" s="61">
        <v>5742280</v>
      </c>
      <c r="I5" s="62">
        <v>5805016</v>
      </c>
      <c r="J5" s="67">
        <f aca="true" t="shared" si="0" ref="J5:K7">+D5+F5+H5</f>
        <v>8597680</v>
      </c>
      <c r="K5" s="68">
        <f t="shared" si="0"/>
        <v>8491614</v>
      </c>
      <c r="L5" s="116">
        <v>8831280</v>
      </c>
      <c r="M5" s="93">
        <f>+L5-J5</f>
        <v>233600</v>
      </c>
      <c r="N5" s="100">
        <f>+L5-K5</f>
        <v>339666</v>
      </c>
    </row>
    <row r="6" spans="1:14" s="1" customFormat="1" ht="18" customHeight="1" thickBot="1">
      <c r="A6" s="3">
        <v>4</v>
      </c>
      <c r="B6" s="5" t="s">
        <v>8</v>
      </c>
      <c r="C6" s="5" t="s">
        <v>9</v>
      </c>
      <c r="D6" s="61">
        <v>110000</v>
      </c>
      <c r="E6" s="62">
        <v>111118</v>
      </c>
      <c r="F6" s="61">
        <v>200000</v>
      </c>
      <c r="G6" s="62">
        <v>201574</v>
      </c>
      <c r="H6" s="61">
        <v>375000</v>
      </c>
      <c r="I6" s="62">
        <v>328313</v>
      </c>
      <c r="J6" s="67">
        <f t="shared" si="0"/>
        <v>685000</v>
      </c>
      <c r="K6" s="68">
        <f t="shared" si="0"/>
        <v>641005</v>
      </c>
      <c r="L6" s="116">
        <v>685000</v>
      </c>
      <c r="M6" s="93">
        <f>+L6-J6</f>
        <v>0</v>
      </c>
      <c r="N6" s="100">
        <f>+L6-K6</f>
        <v>43995</v>
      </c>
    </row>
    <row r="7" spans="1:14" s="1" customFormat="1" ht="18" customHeight="1" thickBot="1">
      <c r="A7" s="3">
        <v>9</v>
      </c>
      <c r="B7" s="4" t="s">
        <v>10</v>
      </c>
      <c r="C7" s="4" t="s">
        <v>11</v>
      </c>
      <c r="D7" s="59">
        <v>332436</v>
      </c>
      <c r="E7" s="60">
        <v>339113.87</v>
      </c>
      <c r="F7" s="59">
        <v>311240.45</v>
      </c>
      <c r="G7" s="60">
        <v>285590.49</v>
      </c>
      <c r="H7" s="59">
        <v>1145410</v>
      </c>
      <c r="I7" s="60">
        <v>1172525.33</v>
      </c>
      <c r="J7" s="65">
        <f t="shared" si="0"/>
        <v>1789086.45</v>
      </c>
      <c r="K7" s="66">
        <f t="shared" si="0"/>
        <v>1797229.69</v>
      </c>
      <c r="L7" s="115">
        <v>1806160</v>
      </c>
      <c r="M7" s="92">
        <f>+L7-J7</f>
        <v>17073.550000000047</v>
      </c>
      <c r="N7" s="66">
        <f>+L7-K7</f>
        <v>8930.310000000056</v>
      </c>
    </row>
    <row r="8" spans="1:14" s="1" customFormat="1" ht="18" customHeight="1" thickBot="1">
      <c r="A8" s="3">
        <v>10</v>
      </c>
      <c r="B8" s="4"/>
      <c r="C8" s="4" t="s">
        <v>12</v>
      </c>
      <c r="D8" s="59">
        <v>568928.49</v>
      </c>
      <c r="E8" s="60">
        <v>576177.63</v>
      </c>
      <c r="F8" s="59">
        <v>1284141</v>
      </c>
      <c r="G8" s="60">
        <v>1288888.78</v>
      </c>
      <c r="H8" s="59">
        <v>3077850</v>
      </c>
      <c r="I8" s="60">
        <v>3049941.76</v>
      </c>
      <c r="J8" s="65">
        <f>SUM(J9:J11)</f>
        <v>4930919.49</v>
      </c>
      <c r="K8" s="66">
        <f>SUM(K9:K11)</f>
        <v>4915008.17</v>
      </c>
      <c r="L8" s="115">
        <f>SUM(L9:L11)</f>
        <v>5857310</v>
      </c>
      <c r="M8" s="92">
        <f>SUM(M9:M11)</f>
        <v>926390.51</v>
      </c>
      <c r="N8" s="92">
        <f>SUM(N9:N11)</f>
        <v>942301.83</v>
      </c>
    </row>
    <row r="9" spans="1:14" s="1" customFormat="1" ht="18" customHeight="1">
      <c r="A9" s="3">
        <v>11</v>
      </c>
      <c r="B9" s="5" t="s">
        <v>13</v>
      </c>
      <c r="C9" s="5" t="s">
        <v>14</v>
      </c>
      <c r="D9" s="61">
        <v>122544</v>
      </c>
      <c r="E9" s="62">
        <v>122544</v>
      </c>
      <c r="F9" s="61">
        <v>388960</v>
      </c>
      <c r="G9" s="62">
        <v>388960</v>
      </c>
      <c r="H9" s="61">
        <v>622030</v>
      </c>
      <c r="I9" s="62">
        <v>622032</v>
      </c>
      <c r="J9" s="67">
        <f aca="true" t="shared" si="1" ref="J9:K11">+D9+F9+H9</f>
        <v>1133534</v>
      </c>
      <c r="K9" s="68">
        <f t="shared" si="1"/>
        <v>1133536</v>
      </c>
      <c r="L9" s="116">
        <v>1393090</v>
      </c>
      <c r="M9" s="93">
        <f>+L9-J9</f>
        <v>259556</v>
      </c>
      <c r="N9" s="100">
        <f>+L9-K9</f>
        <v>259554</v>
      </c>
    </row>
    <row r="10" spans="1:14" s="1" customFormat="1" ht="18" customHeight="1">
      <c r="A10" s="3">
        <v>12</v>
      </c>
      <c r="B10" s="5" t="s">
        <v>15</v>
      </c>
      <c r="C10" s="5" t="s">
        <v>16</v>
      </c>
      <c r="D10" s="61">
        <v>348480</v>
      </c>
      <c r="E10" s="62">
        <v>348480</v>
      </c>
      <c r="F10" s="61">
        <v>769587</v>
      </c>
      <c r="G10" s="62">
        <v>769587</v>
      </c>
      <c r="H10" s="61">
        <v>1902420</v>
      </c>
      <c r="I10" s="62">
        <v>1902425</v>
      </c>
      <c r="J10" s="67">
        <f t="shared" si="1"/>
        <v>3020487</v>
      </c>
      <c r="K10" s="68">
        <f t="shared" si="1"/>
        <v>3020492</v>
      </c>
      <c r="L10" s="116">
        <v>3617980</v>
      </c>
      <c r="M10" s="93">
        <f>+L10-J10</f>
        <v>597493</v>
      </c>
      <c r="N10" s="100">
        <f>+L10-K10</f>
        <v>597488</v>
      </c>
    </row>
    <row r="11" spans="1:14" s="1" customFormat="1" ht="18" customHeight="1" thickBot="1">
      <c r="A11" s="3">
        <v>13</v>
      </c>
      <c r="B11" s="5" t="s">
        <v>17</v>
      </c>
      <c r="C11" s="5" t="s">
        <v>18</v>
      </c>
      <c r="D11" s="61">
        <v>97904.49</v>
      </c>
      <c r="E11" s="62">
        <v>105153.63</v>
      </c>
      <c r="F11" s="61">
        <v>125594</v>
      </c>
      <c r="G11" s="62">
        <v>130341.78</v>
      </c>
      <c r="H11" s="61">
        <v>553400</v>
      </c>
      <c r="I11" s="62">
        <v>525484.76</v>
      </c>
      <c r="J11" s="67">
        <f t="shared" si="1"/>
        <v>776898.49</v>
      </c>
      <c r="K11" s="68">
        <f t="shared" si="1"/>
        <v>760980.17</v>
      </c>
      <c r="L11" s="116">
        <v>846240</v>
      </c>
      <c r="M11" s="93">
        <f>+L11-J11</f>
        <v>69341.51000000001</v>
      </c>
      <c r="N11" s="100">
        <f>+L11-K11</f>
        <v>85259.82999999996</v>
      </c>
    </row>
    <row r="12" spans="1:14" s="1" customFormat="1" ht="18" customHeight="1" thickBot="1">
      <c r="A12" s="3">
        <v>15</v>
      </c>
      <c r="B12" s="4"/>
      <c r="C12" s="4" t="s">
        <v>19</v>
      </c>
      <c r="D12" s="59">
        <v>40344</v>
      </c>
      <c r="E12" s="60">
        <v>39149.44</v>
      </c>
      <c r="F12" s="59">
        <v>30780</v>
      </c>
      <c r="G12" s="60">
        <v>28669</v>
      </c>
      <c r="H12" s="59">
        <v>106670</v>
      </c>
      <c r="I12" s="60">
        <v>139390</v>
      </c>
      <c r="J12" s="65">
        <f>SUM(J13:J16)</f>
        <v>177794</v>
      </c>
      <c r="K12" s="66">
        <f>SUM(K13:K16)</f>
        <v>207208.44</v>
      </c>
      <c r="L12" s="115">
        <f>SUM(L13:L16)</f>
        <v>166240</v>
      </c>
      <c r="M12" s="92">
        <f>SUM(M13:M16)</f>
        <v>-11554</v>
      </c>
      <c r="N12" s="92">
        <f>SUM(N13:N16)</f>
        <v>-40968.44</v>
      </c>
    </row>
    <row r="13" spans="1:14" s="1" customFormat="1" ht="26.25" customHeight="1">
      <c r="A13" s="3">
        <v>16</v>
      </c>
      <c r="B13" s="5" t="s">
        <v>20</v>
      </c>
      <c r="C13" s="5" t="s">
        <v>21</v>
      </c>
      <c r="D13" s="61">
        <v>37675</v>
      </c>
      <c r="E13" s="62">
        <v>35638</v>
      </c>
      <c r="F13" s="61">
        <v>25100</v>
      </c>
      <c r="G13" s="62">
        <v>23485</v>
      </c>
      <c r="H13" s="61">
        <v>50000</v>
      </c>
      <c r="I13" s="62">
        <v>81348</v>
      </c>
      <c r="J13" s="67">
        <f aca="true" t="shared" si="2" ref="J13:K16">+D13+F13+H13</f>
        <v>112775</v>
      </c>
      <c r="K13" s="68">
        <f t="shared" si="2"/>
        <v>140471</v>
      </c>
      <c r="L13" s="116">
        <v>130800</v>
      </c>
      <c r="M13" s="93">
        <f>+L13-J13</f>
        <v>18025</v>
      </c>
      <c r="N13" s="100">
        <f>+L13-K13</f>
        <v>-9671</v>
      </c>
    </row>
    <row r="14" spans="1:14" s="1" customFormat="1" ht="26.25" customHeight="1">
      <c r="A14" s="3">
        <v>19</v>
      </c>
      <c r="B14" s="5" t="s">
        <v>22</v>
      </c>
      <c r="C14" s="5" t="s">
        <v>23</v>
      </c>
      <c r="D14" s="61">
        <v>553</v>
      </c>
      <c r="E14" s="62">
        <v>532</v>
      </c>
      <c r="F14" s="61">
        <v>4900</v>
      </c>
      <c r="G14" s="62">
        <v>4244</v>
      </c>
      <c r="H14" s="61">
        <v>35000</v>
      </c>
      <c r="I14" s="62">
        <v>33620</v>
      </c>
      <c r="J14" s="67">
        <f t="shared" si="2"/>
        <v>40453</v>
      </c>
      <c r="K14" s="68">
        <f t="shared" si="2"/>
        <v>38396</v>
      </c>
      <c r="L14" s="116">
        <v>35440</v>
      </c>
      <c r="M14" s="93">
        <f>+L14-J14</f>
        <v>-5013</v>
      </c>
      <c r="N14" s="100">
        <f>+L14-K14</f>
        <v>-2956</v>
      </c>
    </row>
    <row r="15" spans="1:14" s="1" customFormat="1" ht="24.75" customHeight="1">
      <c r="A15" s="3">
        <v>20</v>
      </c>
      <c r="B15" s="5" t="s">
        <v>24</v>
      </c>
      <c r="C15" s="5" t="s">
        <v>25</v>
      </c>
      <c r="D15" s="61">
        <v>238</v>
      </c>
      <c r="E15" s="62">
        <v>0</v>
      </c>
      <c r="F15" s="61">
        <v>0</v>
      </c>
      <c r="G15" s="62">
        <v>0</v>
      </c>
      <c r="H15" s="61">
        <v>1870</v>
      </c>
      <c r="I15" s="62">
        <v>0</v>
      </c>
      <c r="J15" s="67">
        <f t="shared" si="2"/>
        <v>2108</v>
      </c>
      <c r="K15" s="68">
        <f t="shared" si="2"/>
        <v>0</v>
      </c>
      <c r="L15" s="116">
        <v>0</v>
      </c>
      <c r="M15" s="93">
        <f>+L15-J15</f>
        <v>-2108</v>
      </c>
      <c r="N15" s="100">
        <f>+L15-K15</f>
        <v>0</v>
      </c>
    </row>
    <row r="16" spans="1:14" s="1" customFormat="1" ht="18" customHeight="1" thickBot="1">
      <c r="A16" s="3">
        <v>21</v>
      </c>
      <c r="B16" s="5" t="s">
        <v>26</v>
      </c>
      <c r="C16" s="5" t="s">
        <v>19</v>
      </c>
      <c r="D16" s="61">
        <v>1878</v>
      </c>
      <c r="E16" s="62">
        <v>2979.44</v>
      </c>
      <c r="F16" s="61">
        <v>780</v>
      </c>
      <c r="G16" s="62">
        <v>940</v>
      </c>
      <c r="H16" s="61">
        <v>19800</v>
      </c>
      <c r="I16" s="62">
        <v>24422</v>
      </c>
      <c r="J16" s="67">
        <f t="shared" si="2"/>
        <v>22458</v>
      </c>
      <c r="K16" s="68">
        <f t="shared" si="2"/>
        <v>28341.44</v>
      </c>
      <c r="L16" s="116">
        <v>0</v>
      </c>
      <c r="M16" s="93">
        <f>+L16-J16</f>
        <v>-22458</v>
      </c>
      <c r="N16" s="100">
        <f>+L16-K16</f>
        <v>-28341.44</v>
      </c>
    </row>
    <row r="17" spans="1:14" s="1" customFormat="1" ht="18" customHeight="1" thickBot="1">
      <c r="A17" s="3">
        <v>23</v>
      </c>
      <c r="B17" s="71"/>
      <c r="C17" s="71" t="s">
        <v>27</v>
      </c>
      <c r="D17" s="72">
        <v>-1793991.56</v>
      </c>
      <c r="E17" s="73">
        <v>-1679967.98</v>
      </c>
      <c r="F17" s="72">
        <v>-3705296</v>
      </c>
      <c r="G17" s="73">
        <v>-3542205.08</v>
      </c>
      <c r="H17" s="72">
        <v>-9768670</v>
      </c>
      <c r="I17" s="73">
        <v>-9058584.22</v>
      </c>
      <c r="J17" s="74">
        <f>J18+J22</f>
        <v>-15267957.56</v>
      </c>
      <c r="K17" s="75">
        <f>K18+K22</f>
        <v>-14280757.280000001</v>
      </c>
      <c r="L17" s="91">
        <f>L18+L22</f>
        <v>-15876820</v>
      </c>
      <c r="M17" s="91">
        <f>M18+M22</f>
        <v>-608862.4399999994</v>
      </c>
      <c r="N17" s="91">
        <f>N18+N22</f>
        <v>-3890842.6999999993</v>
      </c>
    </row>
    <row r="18" spans="1:14" s="1" customFormat="1" ht="18" customHeight="1" thickBot="1">
      <c r="A18" s="3">
        <v>24</v>
      </c>
      <c r="B18" s="4"/>
      <c r="C18" s="4" t="s">
        <v>28</v>
      </c>
      <c r="D18" s="59">
        <v>-66911.92</v>
      </c>
      <c r="E18" s="60">
        <v>-59035.16</v>
      </c>
      <c r="F18" s="59">
        <v>-565351</v>
      </c>
      <c r="G18" s="60">
        <v>-529597.77</v>
      </c>
      <c r="H18" s="59">
        <v>-798210</v>
      </c>
      <c r="I18" s="60">
        <v>-626785.4500000001</v>
      </c>
      <c r="J18" s="65">
        <f>SUM(J19:J21)</f>
        <v>-1430472.92</v>
      </c>
      <c r="K18" s="66">
        <f>SUM(K19:K21)</f>
        <v>-1215418.3800000001</v>
      </c>
      <c r="L18" s="115">
        <f>SUM(L19:L21)</f>
        <v>-1292440</v>
      </c>
      <c r="M18" s="92">
        <f>SUM(M19:M21)</f>
        <v>138032.92000000004</v>
      </c>
      <c r="N18" s="92">
        <f>SUM(N19:N21)</f>
        <v>-2371801.6</v>
      </c>
    </row>
    <row r="19" spans="1:14" s="1" customFormat="1" ht="24" customHeight="1">
      <c r="A19" s="3">
        <v>26</v>
      </c>
      <c r="B19" s="5" t="s">
        <v>29</v>
      </c>
      <c r="C19" s="5" t="s">
        <v>30</v>
      </c>
      <c r="D19" s="61">
        <v>-41497.92</v>
      </c>
      <c r="E19" s="62">
        <v>-34824.66</v>
      </c>
      <c r="F19" s="61">
        <v>-81796</v>
      </c>
      <c r="G19" s="62">
        <v>-70776.71</v>
      </c>
      <c r="H19" s="61">
        <v>-453380</v>
      </c>
      <c r="I19" s="62">
        <v>-316849.96</v>
      </c>
      <c r="J19" s="67">
        <f aca="true" t="shared" si="3" ref="J19:K21">+D19+F19+H19</f>
        <v>-576673.92</v>
      </c>
      <c r="K19" s="68">
        <f t="shared" si="3"/>
        <v>-422451.33</v>
      </c>
      <c r="L19" s="116">
        <v>-632150</v>
      </c>
      <c r="M19" s="93">
        <f>+L19-J19</f>
        <v>-55476.07999999996</v>
      </c>
      <c r="N19" s="100">
        <f>+G19+I19+K19</f>
        <v>-810078</v>
      </c>
    </row>
    <row r="20" spans="1:14" s="1" customFormat="1" ht="23.25" customHeight="1">
      <c r="A20" s="3">
        <v>27</v>
      </c>
      <c r="B20" s="5" t="s">
        <v>31</v>
      </c>
      <c r="C20" s="5" t="s">
        <v>32</v>
      </c>
      <c r="D20" s="61">
        <v>-13922.12</v>
      </c>
      <c r="E20" s="62">
        <v>-12768.62</v>
      </c>
      <c r="F20" s="61">
        <v>-450555</v>
      </c>
      <c r="G20" s="62">
        <v>-420826.28</v>
      </c>
      <c r="H20" s="61">
        <v>-301130</v>
      </c>
      <c r="I20" s="62">
        <v>-265434.14</v>
      </c>
      <c r="J20" s="67">
        <f t="shared" si="3"/>
        <v>-765607.12</v>
      </c>
      <c r="K20" s="68">
        <f t="shared" si="3"/>
        <v>-699029.04</v>
      </c>
      <c r="L20" s="116">
        <v>-577230</v>
      </c>
      <c r="M20" s="93">
        <f>+L20-J20</f>
        <v>188377.12</v>
      </c>
      <c r="N20" s="100">
        <f>+G20+I20+K20</f>
        <v>-1385289.46</v>
      </c>
    </row>
    <row r="21" spans="1:14" s="1" customFormat="1" ht="18" customHeight="1" thickBot="1">
      <c r="A21" s="3">
        <v>28</v>
      </c>
      <c r="B21" s="5" t="s">
        <v>33</v>
      </c>
      <c r="C21" s="5" t="s">
        <v>34</v>
      </c>
      <c r="D21" s="61">
        <v>-11491.88</v>
      </c>
      <c r="E21" s="62">
        <v>-11441.88</v>
      </c>
      <c r="F21" s="61">
        <v>-33000</v>
      </c>
      <c r="G21" s="62">
        <v>-37994.78</v>
      </c>
      <c r="H21" s="61">
        <v>-43700</v>
      </c>
      <c r="I21" s="62">
        <v>-44501.35</v>
      </c>
      <c r="J21" s="67">
        <f t="shared" si="3"/>
        <v>-88191.88</v>
      </c>
      <c r="K21" s="68">
        <f t="shared" si="3"/>
        <v>-93938.01</v>
      </c>
      <c r="L21" s="116">
        <v>-83060</v>
      </c>
      <c r="M21" s="93">
        <f>+L21-J21</f>
        <v>5131.880000000005</v>
      </c>
      <c r="N21" s="100">
        <f>+G21+I21+K21</f>
        <v>-176434.14</v>
      </c>
    </row>
    <row r="22" spans="1:14" s="1" customFormat="1" ht="18" customHeight="1" thickBot="1">
      <c r="A22" s="3">
        <v>29</v>
      </c>
      <c r="B22" s="4"/>
      <c r="C22" s="4" t="s">
        <v>35</v>
      </c>
      <c r="D22" s="59">
        <v>-1727079.64</v>
      </c>
      <c r="E22" s="60">
        <v>-1620932.82</v>
      </c>
      <c r="F22" s="59">
        <v>-3139945</v>
      </c>
      <c r="G22" s="60">
        <v>-3012607.31</v>
      </c>
      <c r="H22" s="59">
        <v>-8970460</v>
      </c>
      <c r="I22" s="60">
        <v>-8431798.77</v>
      </c>
      <c r="J22" s="65">
        <f>SUM(J23:J25)</f>
        <v>-13837484.64</v>
      </c>
      <c r="K22" s="66">
        <f>SUM(K23:K25)</f>
        <v>-13065338.9</v>
      </c>
      <c r="L22" s="115">
        <f>SUM(L23:L25)</f>
        <v>-14584380</v>
      </c>
      <c r="M22" s="92">
        <f>SUM(M23:M25)</f>
        <v>-746895.3599999994</v>
      </c>
      <c r="N22" s="66">
        <f>SUM(N23:N25)</f>
        <v>-1519041.0999999994</v>
      </c>
    </row>
    <row r="23" spans="1:14" s="1" customFormat="1" ht="18" customHeight="1">
      <c r="A23" s="3">
        <v>30</v>
      </c>
      <c r="B23" s="5" t="s">
        <v>36</v>
      </c>
      <c r="C23" s="5" t="s">
        <v>37</v>
      </c>
      <c r="D23" s="61">
        <v>-1124267.16</v>
      </c>
      <c r="E23" s="62">
        <v>-1073014.85</v>
      </c>
      <c r="F23" s="61">
        <v>-1969991</v>
      </c>
      <c r="G23" s="62">
        <v>-1937482.48</v>
      </c>
      <c r="H23" s="61">
        <v>-5147350</v>
      </c>
      <c r="I23" s="62">
        <v>-5014029.17</v>
      </c>
      <c r="J23" s="67">
        <f aca="true" t="shared" si="4" ref="J23:K25">+D23+F23+H23</f>
        <v>-8241608.16</v>
      </c>
      <c r="K23" s="68">
        <f t="shared" si="4"/>
        <v>-8024526.5</v>
      </c>
      <c r="L23" s="116">
        <v>-8525320</v>
      </c>
      <c r="M23" s="93">
        <f>+L23-J23</f>
        <v>-283711.83999999985</v>
      </c>
      <c r="N23" s="100">
        <f>+L23-K23</f>
        <v>-500793.5</v>
      </c>
    </row>
    <row r="24" spans="1:14" s="1" customFormat="1" ht="18" customHeight="1">
      <c r="A24" s="3">
        <v>31</v>
      </c>
      <c r="B24" s="5" t="s">
        <v>38</v>
      </c>
      <c r="C24" s="5" t="s">
        <v>39</v>
      </c>
      <c r="D24" s="61">
        <v>-575342.48</v>
      </c>
      <c r="E24" s="62">
        <v>-531212.63</v>
      </c>
      <c r="F24" s="61">
        <v>-1169340</v>
      </c>
      <c r="G24" s="62">
        <v>-1074984.33</v>
      </c>
      <c r="H24" s="61">
        <v>-3813740</v>
      </c>
      <c r="I24" s="62">
        <v>-3417341.6</v>
      </c>
      <c r="J24" s="67">
        <f t="shared" si="4"/>
        <v>-5558422.48</v>
      </c>
      <c r="K24" s="68">
        <f t="shared" si="4"/>
        <v>-5023538.5600000005</v>
      </c>
      <c r="L24" s="116">
        <v>-5968350</v>
      </c>
      <c r="M24" s="93">
        <f>+L24-J24</f>
        <v>-409927.51999999955</v>
      </c>
      <c r="N24" s="100">
        <f>+L24-K24</f>
        <v>-944811.4399999995</v>
      </c>
    </row>
    <row r="25" spans="1:14" s="1" customFormat="1" ht="18" customHeight="1" thickBot="1">
      <c r="A25" s="3">
        <v>32</v>
      </c>
      <c r="B25" s="5" t="s">
        <v>40</v>
      </c>
      <c r="C25" s="5" t="s">
        <v>41</v>
      </c>
      <c r="D25" s="61">
        <v>-27470</v>
      </c>
      <c r="E25" s="62">
        <v>-16705.34</v>
      </c>
      <c r="F25" s="61">
        <v>-614</v>
      </c>
      <c r="G25" s="62">
        <v>-140.5</v>
      </c>
      <c r="H25" s="61">
        <v>-9370</v>
      </c>
      <c r="I25" s="62">
        <v>-428</v>
      </c>
      <c r="J25" s="67">
        <f t="shared" si="4"/>
        <v>-37454</v>
      </c>
      <c r="K25" s="68">
        <f t="shared" si="4"/>
        <v>-17273.84</v>
      </c>
      <c r="L25" s="116">
        <v>-90710</v>
      </c>
      <c r="M25" s="93">
        <f>+L25-J25</f>
        <v>-53256</v>
      </c>
      <c r="N25" s="100">
        <f>+L25-K25</f>
        <v>-73436.16</v>
      </c>
    </row>
    <row r="26" spans="1:15" s="1" customFormat="1" ht="18" customHeight="1" thickBot="1">
      <c r="A26" s="3">
        <v>33</v>
      </c>
      <c r="B26" s="76"/>
      <c r="C26" s="76" t="s">
        <v>42</v>
      </c>
      <c r="D26" s="77">
        <v>93116.93</v>
      </c>
      <c r="E26" s="78">
        <v>178388.96</v>
      </c>
      <c r="F26" s="77">
        <v>140865.45</v>
      </c>
      <c r="G26" s="78">
        <v>156317.19</v>
      </c>
      <c r="H26" s="77">
        <v>678540</v>
      </c>
      <c r="I26" s="78">
        <v>1436601.87</v>
      </c>
      <c r="J26" s="79">
        <f>J3+J17</f>
        <v>912522.379999999</v>
      </c>
      <c r="K26" s="80">
        <f>K3+K17</f>
        <v>1771308.0199999977</v>
      </c>
      <c r="L26" s="94">
        <f>L3+L17</f>
        <v>1469170</v>
      </c>
      <c r="M26" s="94">
        <f>M3+M17</f>
        <v>556647.6200000007</v>
      </c>
      <c r="N26" s="94">
        <f>N3+N17</f>
        <v>-2596917.999999999</v>
      </c>
      <c r="O26" s="114"/>
    </row>
    <row r="27" spans="1:14" s="1" customFormat="1" ht="18" customHeight="1" thickBot="1">
      <c r="A27" s="3">
        <v>34</v>
      </c>
      <c r="B27" s="71"/>
      <c r="C27" s="71" t="s">
        <v>43</v>
      </c>
      <c r="D27" s="72">
        <v>-192410.77</v>
      </c>
      <c r="E27" s="73">
        <v>-158901.30000000002</v>
      </c>
      <c r="F27" s="72">
        <v>-912515</v>
      </c>
      <c r="G27" s="73">
        <v>-848742.91</v>
      </c>
      <c r="H27" s="72">
        <v>-3325190</v>
      </c>
      <c r="I27" s="73">
        <v>-2806520.56</v>
      </c>
      <c r="J27" s="74">
        <f>SUM(J28:J35)</f>
        <v>-4430115.7700000005</v>
      </c>
      <c r="K27" s="75">
        <f>SUM(K28:K35)</f>
        <v>-3814164.77</v>
      </c>
      <c r="L27" s="91">
        <f>SUM(L28:L35)</f>
        <v>-2918310</v>
      </c>
      <c r="M27" s="91">
        <f>SUM(M28:M35)</f>
        <v>1511805.7700000005</v>
      </c>
      <c r="N27" s="91">
        <f>SUM(N28:N35)</f>
        <v>895854.7700000004</v>
      </c>
    </row>
    <row r="28" spans="1:14" s="1" customFormat="1" ht="18" customHeight="1">
      <c r="A28" s="3">
        <v>35</v>
      </c>
      <c r="B28" s="5" t="s">
        <v>44</v>
      </c>
      <c r="C28" s="5" t="s">
        <v>45</v>
      </c>
      <c r="D28" s="61">
        <v>0</v>
      </c>
      <c r="E28" s="62">
        <v>0</v>
      </c>
      <c r="F28" s="61">
        <v>24000</v>
      </c>
      <c r="G28" s="62">
        <v>17900</v>
      </c>
      <c r="H28" s="61">
        <v>27720</v>
      </c>
      <c r="I28" s="62">
        <v>6640</v>
      </c>
      <c r="J28" s="67">
        <f>+D28+F28+H28</f>
        <v>51720</v>
      </c>
      <c r="K28" s="68">
        <f>+E28+G28+I28</f>
        <v>24540</v>
      </c>
      <c r="L28" s="116">
        <v>19510</v>
      </c>
      <c r="M28" s="93">
        <f>+L28-J28</f>
        <v>-32210</v>
      </c>
      <c r="N28" s="100">
        <f>+L28-K28</f>
        <v>-5030</v>
      </c>
    </row>
    <row r="29" spans="1:14" s="1" customFormat="1" ht="18" customHeight="1">
      <c r="A29" s="3">
        <v>36</v>
      </c>
      <c r="B29" s="5" t="s">
        <v>46</v>
      </c>
      <c r="C29" s="5" t="s">
        <v>47</v>
      </c>
      <c r="D29" s="61">
        <v>-161710.64</v>
      </c>
      <c r="E29" s="62">
        <v>-132308.7</v>
      </c>
      <c r="F29" s="61">
        <v>-924840</v>
      </c>
      <c r="G29" s="62">
        <v>-785684.83</v>
      </c>
      <c r="H29" s="61">
        <v>-3150960</v>
      </c>
      <c r="I29" s="62">
        <v>-2387753.41</v>
      </c>
      <c r="J29" s="67">
        <f aca="true" t="shared" si="5" ref="J29:J35">+D29+F29+H29</f>
        <v>-4237510.640000001</v>
      </c>
      <c r="K29" s="68">
        <f aca="true" t="shared" si="6" ref="K29:K35">+E29+G29+I29</f>
        <v>-3305746.9400000004</v>
      </c>
      <c r="L29" s="116">
        <v>-3878070</v>
      </c>
      <c r="M29" s="93">
        <f aca="true" t="shared" si="7" ref="M29:M35">+L29-J29</f>
        <v>359440.6400000006</v>
      </c>
      <c r="N29" s="100">
        <f aca="true" t="shared" si="8" ref="N29:N35">+L29-K29</f>
        <v>-572323.0599999996</v>
      </c>
    </row>
    <row r="30" spans="1:14" s="1" customFormat="1" ht="24" customHeight="1">
      <c r="A30" s="3">
        <v>37</v>
      </c>
      <c r="B30" s="5" t="s">
        <v>48</v>
      </c>
      <c r="C30" s="5" t="s">
        <v>49</v>
      </c>
      <c r="D30" s="61">
        <v>12799</v>
      </c>
      <c r="E30" s="62">
        <v>13505.75</v>
      </c>
      <c r="F30" s="61">
        <v>136872</v>
      </c>
      <c r="G30" s="62">
        <v>60020.55</v>
      </c>
      <c r="H30" s="61">
        <v>388790</v>
      </c>
      <c r="I30" s="62">
        <v>43107.8</v>
      </c>
      <c r="J30" s="67">
        <f t="shared" si="5"/>
        <v>538461</v>
      </c>
      <c r="K30" s="68">
        <f t="shared" si="6"/>
        <v>116634.1</v>
      </c>
      <c r="L30" s="116">
        <v>2190090</v>
      </c>
      <c r="M30" s="93">
        <f t="shared" si="7"/>
        <v>1651629</v>
      </c>
      <c r="N30" s="100">
        <f t="shared" si="8"/>
        <v>2073455.9</v>
      </c>
    </row>
    <row r="31" spans="1:14" s="1" customFormat="1" ht="26.25" customHeight="1">
      <c r="A31" s="3">
        <v>38</v>
      </c>
      <c r="B31" s="5" t="s">
        <v>50</v>
      </c>
      <c r="C31" s="5" t="s">
        <v>51</v>
      </c>
      <c r="D31" s="61">
        <v>-39167.13</v>
      </c>
      <c r="E31" s="62">
        <v>-36951.86</v>
      </c>
      <c r="F31" s="61">
        <v>-136097</v>
      </c>
      <c r="G31" s="62">
        <v>-128764.75</v>
      </c>
      <c r="H31" s="61">
        <v>-329710</v>
      </c>
      <c r="I31" s="62">
        <v>-211173.27</v>
      </c>
      <c r="J31" s="67">
        <f t="shared" si="5"/>
        <v>-504974.13</v>
      </c>
      <c r="K31" s="68">
        <f t="shared" si="6"/>
        <v>-376889.88</v>
      </c>
      <c r="L31" s="116">
        <v>-948810</v>
      </c>
      <c r="M31" s="93">
        <f t="shared" si="7"/>
        <v>-443835.87</v>
      </c>
      <c r="N31" s="100">
        <f t="shared" si="8"/>
        <v>-571920.12</v>
      </c>
    </row>
    <row r="32" spans="1:14" s="1" customFormat="1" ht="18" customHeight="1">
      <c r="A32" s="3">
        <v>39</v>
      </c>
      <c r="B32" s="5" t="s">
        <v>52</v>
      </c>
      <c r="C32" s="5" t="s">
        <v>53</v>
      </c>
      <c r="D32" s="61">
        <v>0</v>
      </c>
      <c r="E32" s="62">
        <v>0</v>
      </c>
      <c r="F32" s="61">
        <v>2500</v>
      </c>
      <c r="G32" s="62">
        <v>2500</v>
      </c>
      <c r="H32" s="61">
        <v>0</v>
      </c>
      <c r="I32" s="62">
        <v>0</v>
      </c>
      <c r="J32" s="67">
        <f t="shared" si="5"/>
        <v>2500</v>
      </c>
      <c r="K32" s="68">
        <f t="shared" si="6"/>
        <v>2500</v>
      </c>
      <c r="L32" s="116">
        <v>0</v>
      </c>
      <c r="M32" s="93">
        <f t="shared" si="7"/>
        <v>-2500</v>
      </c>
      <c r="N32" s="100">
        <f t="shared" si="8"/>
        <v>-2500</v>
      </c>
    </row>
    <row r="33" spans="1:14" s="1" customFormat="1" ht="18" customHeight="1">
      <c r="A33" s="3">
        <v>40</v>
      </c>
      <c r="B33" s="5" t="s">
        <v>54</v>
      </c>
      <c r="C33" s="5" t="s">
        <v>55</v>
      </c>
      <c r="D33" s="61">
        <v>0</v>
      </c>
      <c r="E33" s="62">
        <v>0</v>
      </c>
      <c r="F33" s="61">
        <v>0</v>
      </c>
      <c r="G33" s="62">
        <v>0</v>
      </c>
      <c r="H33" s="61">
        <v>-175000</v>
      </c>
      <c r="I33" s="62">
        <v>-175000</v>
      </c>
      <c r="J33" s="67">
        <f t="shared" si="5"/>
        <v>-175000</v>
      </c>
      <c r="K33" s="68">
        <f t="shared" si="6"/>
        <v>-175000</v>
      </c>
      <c r="L33" s="116">
        <v>-175000</v>
      </c>
      <c r="M33" s="93">
        <f t="shared" si="7"/>
        <v>0</v>
      </c>
      <c r="N33" s="100">
        <f t="shared" si="8"/>
        <v>0</v>
      </c>
    </row>
    <row r="34" spans="1:14" s="1" customFormat="1" ht="18" customHeight="1">
      <c r="A34" s="3">
        <v>45</v>
      </c>
      <c r="B34" s="5" t="s">
        <v>56</v>
      </c>
      <c r="C34" s="5" t="s">
        <v>57</v>
      </c>
      <c r="D34" s="61">
        <v>14</v>
      </c>
      <c r="E34" s="62">
        <v>18.3</v>
      </c>
      <c r="F34" s="61">
        <v>50</v>
      </c>
      <c r="G34" s="62">
        <v>41.51</v>
      </c>
      <c r="H34" s="61">
        <v>160</v>
      </c>
      <c r="I34" s="62">
        <v>164.18</v>
      </c>
      <c r="J34" s="67">
        <f t="shared" si="5"/>
        <v>224</v>
      </c>
      <c r="K34" s="68">
        <f t="shared" si="6"/>
        <v>223.99</v>
      </c>
      <c r="L34" s="116">
        <v>160</v>
      </c>
      <c r="M34" s="93">
        <f t="shared" si="7"/>
        <v>-64</v>
      </c>
      <c r="N34" s="100">
        <f t="shared" si="8"/>
        <v>-63.99000000000001</v>
      </c>
    </row>
    <row r="35" spans="1:14" s="1" customFormat="1" ht="18" customHeight="1" thickBot="1">
      <c r="A35" s="3">
        <v>46</v>
      </c>
      <c r="B35" s="5" t="s">
        <v>58</v>
      </c>
      <c r="C35" s="5" t="s">
        <v>59</v>
      </c>
      <c r="D35" s="61">
        <v>-4346</v>
      </c>
      <c r="E35" s="62">
        <v>-3164.79</v>
      </c>
      <c r="F35" s="61">
        <v>-15000</v>
      </c>
      <c r="G35" s="62">
        <v>-14755.39</v>
      </c>
      <c r="H35" s="61">
        <v>-86190</v>
      </c>
      <c r="I35" s="62">
        <v>-82505.86</v>
      </c>
      <c r="J35" s="67">
        <f t="shared" si="5"/>
        <v>-105536</v>
      </c>
      <c r="K35" s="68">
        <f t="shared" si="6"/>
        <v>-100426.04000000001</v>
      </c>
      <c r="L35" s="116">
        <v>-126190</v>
      </c>
      <c r="M35" s="93">
        <f t="shared" si="7"/>
        <v>-20654</v>
      </c>
      <c r="N35" s="100">
        <f t="shared" si="8"/>
        <v>-25763.959999999992</v>
      </c>
    </row>
    <row r="36" spans="1:14" s="1" customFormat="1" ht="27.75" customHeight="1" thickBot="1">
      <c r="A36" s="3">
        <v>47</v>
      </c>
      <c r="B36" s="76"/>
      <c r="C36" s="76" t="s">
        <v>60</v>
      </c>
      <c r="D36" s="77">
        <v>-99293.84</v>
      </c>
      <c r="E36" s="78">
        <v>19487.66</v>
      </c>
      <c r="F36" s="77">
        <v>-771649.55</v>
      </c>
      <c r="G36" s="78">
        <v>-692425.72</v>
      </c>
      <c r="H36" s="77">
        <v>-2646650</v>
      </c>
      <c r="I36" s="78">
        <v>-1369918.69</v>
      </c>
      <c r="J36" s="79">
        <f>J26+J27</f>
        <v>-3517593.3900000015</v>
      </c>
      <c r="K36" s="80">
        <f>K26+K27</f>
        <v>-2042856.7500000023</v>
      </c>
      <c r="L36" s="94">
        <f>L26+L27</f>
        <v>-1449140</v>
      </c>
      <c r="M36" s="94">
        <f>M26+M27</f>
        <v>2068453.390000001</v>
      </c>
      <c r="N36" s="94">
        <f>N26+N27</f>
        <v>-1701063.2299999986</v>
      </c>
    </row>
    <row r="37" spans="1:14" s="1" customFormat="1" ht="18" customHeight="1" thickBot="1">
      <c r="A37" s="3">
        <v>48</v>
      </c>
      <c r="B37" s="71"/>
      <c r="C37" s="71" t="s">
        <v>61</v>
      </c>
      <c r="D37" s="72">
        <v>-43713</v>
      </c>
      <c r="E37" s="73">
        <v>-43713.2</v>
      </c>
      <c r="F37" s="72">
        <v>482500</v>
      </c>
      <c r="G37" s="73">
        <v>482841.76</v>
      </c>
      <c r="H37" s="72">
        <v>1348500</v>
      </c>
      <c r="I37" s="73">
        <v>1362935.32</v>
      </c>
      <c r="J37" s="74">
        <f>SUM(J38:J39)</f>
        <v>1787287</v>
      </c>
      <c r="K37" s="75">
        <f>SUM(K38:K39)</f>
        <v>1802063.88</v>
      </c>
      <c r="L37" s="91">
        <f>SUM(L38:L39)</f>
        <v>-162450</v>
      </c>
      <c r="M37" s="91">
        <f>SUM(M38:M39)</f>
        <v>-1949737</v>
      </c>
      <c r="N37" s="91">
        <f>SUM(N38:N39)</f>
        <v>-1964513.88</v>
      </c>
    </row>
    <row r="38" spans="1:14" s="1" customFormat="1" ht="18" customHeight="1">
      <c r="A38" s="3">
        <v>49</v>
      </c>
      <c r="B38" s="5" t="s">
        <v>62</v>
      </c>
      <c r="C38" s="5" t="s">
        <v>63</v>
      </c>
      <c r="D38" s="61"/>
      <c r="E38" s="62"/>
      <c r="F38" s="61">
        <v>745000</v>
      </c>
      <c r="G38" s="62">
        <v>745000</v>
      </c>
      <c r="H38" s="61">
        <v>1863000</v>
      </c>
      <c r="I38" s="62">
        <v>1863000</v>
      </c>
      <c r="J38" s="67">
        <f aca="true" t="shared" si="9" ref="J38:K40">+D38+F38+H38</f>
        <v>2608000</v>
      </c>
      <c r="K38" s="68">
        <f t="shared" si="9"/>
        <v>2608000</v>
      </c>
      <c r="L38" s="116">
        <v>715000</v>
      </c>
      <c r="M38" s="93">
        <f>+L38-J38</f>
        <v>-1893000</v>
      </c>
      <c r="N38" s="100">
        <f>+L38-K38</f>
        <v>-1893000</v>
      </c>
    </row>
    <row r="39" spans="1:14" s="1" customFormat="1" ht="18" customHeight="1" thickBot="1">
      <c r="A39" s="3">
        <v>50</v>
      </c>
      <c r="B39" s="5" t="s">
        <v>64</v>
      </c>
      <c r="C39" s="5" t="s">
        <v>65</v>
      </c>
      <c r="D39" s="61">
        <v>-43713</v>
      </c>
      <c r="E39" s="62">
        <v>-43713.2</v>
      </c>
      <c r="F39" s="61">
        <v>-262500</v>
      </c>
      <c r="G39" s="62">
        <v>-262158.24</v>
      </c>
      <c r="H39" s="61">
        <v>-514500</v>
      </c>
      <c r="I39" s="62">
        <v>-500064.68</v>
      </c>
      <c r="J39" s="67">
        <f t="shared" si="9"/>
        <v>-820713</v>
      </c>
      <c r="K39" s="68">
        <f t="shared" si="9"/>
        <v>-805936.12</v>
      </c>
      <c r="L39" s="116">
        <v>-877450</v>
      </c>
      <c r="M39" s="93">
        <f>+L39-J39</f>
        <v>-56737</v>
      </c>
      <c r="N39" s="100">
        <f>+L39-K39</f>
        <v>-71513.88</v>
      </c>
    </row>
    <row r="40" spans="1:14" s="1" customFormat="1" ht="30" customHeight="1" thickBot="1">
      <c r="A40" s="3">
        <v>51</v>
      </c>
      <c r="B40" s="71" t="s">
        <v>66</v>
      </c>
      <c r="C40" s="71" t="s">
        <v>67</v>
      </c>
      <c r="D40" s="72">
        <v>-143006.84</v>
      </c>
      <c r="E40" s="73">
        <v>-24225.54</v>
      </c>
      <c r="F40" s="72">
        <v>-289149.55</v>
      </c>
      <c r="G40" s="73">
        <v>-209583.96</v>
      </c>
      <c r="H40" s="72">
        <v>-1298150</v>
      </c>
      <c r="I40" s="73">
        <v>-6983.37</v>
      </c>
      <c r="J40" s="74">
        <f t="shared" si="9"/>
        <v>-1730306.3900000001</v>
      </c>
      <c r="K40" s="75">
        <f t="shared" si="9"/>
        <v>-240792.87</v>
      </c>
      <c r="L40" s="91">
        <v>-1611590</v>
      </c>
      <c r="M40" s="91"/>
      <c r="N40" s="75"/>
    </row>
    <row r="41" spans="1:14" s="85" customFormat="1" ht="18" customHeight="1" thickBot="1">
      <c r="A41" s="81">
        <v>53</v>
      </c>
      <c r="B41" s="82"/>
      <c r="C41" s="82"/>
      <c r="D41" s="83">
        <f aca="true" t="shared" si="10" ref="D41:L41">+D36+D37-D40</f>
        <v>0</v>
      </c>
      <c r="E41" s="84">
        <f t="shared" si="10"/>
        <v>0</v>
      </c>
      <c r="F41" s="83">
        <f t="shared" si="10"/>
        <v>0</v>
      </c>
      <c r="G41" s="84">
        <f t="shared" si="10"/>
        <v>0</v>
      </c>
      <c r="H41" s="83">
        <f t="shared" si="10"/>
        <v>0</v>
      </c>
      <c r="I41" s="84">
        <f t="shared" si="10"/>
        <v>1.2096279533579946E-10</v>
      </c>
      <c r="J41" s="83">
        <f t="shared" si="10"/>
        <v>0</v>
      </c>
      <c r="K41" s="84">
        <f t="shared" si="10"/>
        <v>-2.444721758365631E-09</v>
      </c>
      <c r="L41" s="95">
        <f t="shared" si="10"/>
        <v>0</v>
      </c>
      <c r="M41" s="95"/>
      <c r="N41" s="95"/>
    </row>
    <row r="42" spans="1:14" s="1" customFormat="1" ht="39.75" customHeight="1" thickBot="1">
      <c r="A42" s="3">
        <v>54</v>
      </c>
      <c r="B42" s="71"/>
      <c r="C42" s="71" t="s">
        <v>68</v>
      </c>
      <c r="D42" s="72">
        <v>1999215.33</v>
      </c>
      <c r="E42" s="73">
        <v>1852393.33</v>
      </c>
      <c r="F42" s="72">
        <v>4781233</v>
      </c>
      <c r="G42" s="73">
        <v>4471410.05</v>
      </c>
      <c r="H42" s="72">
        <v>13510530</v>
      </c>
      <c r="I42" s="73">
        <v>11915016.76</v>
      </c>
      <c r="J42" s="74">
        <f>+J43+J51+J55+J64+J70+J75+J78+J90+J97</f>
        <v>20290978.330000002</v>
      </c>
      <c r="K42" s="75">
        <f>+K43+K51+K55+K64+K70+K75+K78+K90+K97</f>
        <v>18238820.139999997</v>
      </c>
      <c r="L42" s="91">
        <f>+L43+L51+L55+L64+L70+L75+L78+L90+L97</f>
        <v>21004890</v>
      </c>
      <c r="M42" s="91">
        <f>+M43+M51+M55+M64+M70+M75+M78+M90+M97</f>
        <v>713911.6700000009</v>
      </c>
      <c r="N42" s="91">
        <f>+N43+N51+N55+N64+N70+N75+N78+N90+N97</f>
        <v>2766069.8600000003</v>
      </c>
    </row>
    <row r="43" spans="1:14" s="1" customFormat="1" ht="18" customHeight="1" thickBot="1">
      <c r="A43" s="3">
        <v>55</v>
      </c>
      <c r="B43" s="71" t="s">
        <v>69</v>
      </c>
      <c r="C43" s="71" t="s">
        <v>70</v>
      </c>
      <c r="D43" s="72">
        <v>245290.27</v>
      </c>
      <c r="E43" s="73">
        <v>211120.76</v>
      </c>
      <c r="F43" s="72">
        <v>611976</v>
      </c>
      <c r="G43" s="73">
        <v>556849.5700000001</v>
      </c>
      <c r="H43" s="72">
        <v>1310840</v>
      </c>
      <c r="I43" s="73">
        <v>1019801.33</v>
      </c>
      <c r="J43" s="74">
        <f>SUM(J44:J50)</f>
        <v>2168106.27</v>
      </c>
      <c r="K43" s="75">
        <f>SUM(K44:K50)</f>
        <v>1787771.66</v>
      </c>
      <c r="L43" s="91">
        <f>SUM(L44:L50)</f>
        <v>1539210</v>
      </c>
      <c r="M43" s="91">
        <f>SUM(M44:M50)</f>
        <v>-628896.2699999998</v>
      </c>
      <c r="N43" s="91">
        <f>SUM(N44:N50)</f>
        <v>-248561.65999999986</v>
      </c>
    </row>
    <row r="44" spans="1:14" s="1" customFormat="1" ht="18" customHeight="1">
      <c r="A44" s="3">
        <v>56</v>
      </c>
      <c r="B44" s="5" t="s">
        <v>71</v>
      </c>
      <c r="C44" s="5" t="s">
        <v>72</v>
      </c>
      <c r="D44" s="61">
        <v>8489.06</v>
      </c>
      <c r="E44" s="62">
        <v>8511.29</v>
      </c>
      <c r="F44" s="61">
        <v>36520</v>
      </c>
      <c r="G44" s="62">
        <v>28037.88</v>
      </c>
      <c r="H44" s="61">
        <v>33600</v>
      </c>
      <c r="I44" s="62">
        <v>25838.06</v>
      </c>
      <c r="J44" s="67">
        <f aca="true" t="shared" si="11" ref="J44:K50">+D44+F44+H44</f>
        <v>78609.06</v>
      </c>
      <c r="K44" s="68">
        <f t="shared" si="11"/>
        <v>62387.229999999996</v>
      </c>
      <c r="L44" s="116">
        <v>86710</v>
      </c>
      <c r="M44" s="93">
        <f>+L44-J44</f>
        <v>8100.940000000002</v>
      </c>
      <c r="N44" s="100">
        <f>+L44-K44</f>
        <v>24322.770000000004</v>
      </c>
    </row>
    <row r="45" spans="1:14" s="1" customFormat="1" ht="18" customHeight="1">
      <c r="A45" s="3">
        <v>57</v>
      </c>
      <c r="B45" s="5" t="s">
        <v>73</v>
      </c>
      <c r="C45" s="5" t="s">
        <v>74</v>
      </c>
      <c r="D45" s="61">
        <v>213864.09</v>
      </c>
      <c r="E45" s="62">
        <v>190162.34</v>
      </c>
      <c r="F45" s="61">
        <v>475865</v>
      </c>
      <c r="G45" s="62">
        <v>435586.05</v>
      </c>
      <c r="H45" s="61">
        <v>891330</v>
      </c>
      <c r="I45" s="62">
        <v>798679.22</v>
      </c>
      <c r="J45" s="67">
        <f t="shared" si="11"/>
        <v>1581059.0899999999</v>
      </c>
      <c r="K45" s="68">
        <f t="shared" si="11"/>
        <v>1424427.6099999999</v>
      </c>
      <c r="L45" s="116">
        <v>1154990</v>
      </c>
      <c r="M45" s="93">
        <f aca="true" t="shared" si="12" ref="M45:M50">+L45-J45</f>
        <v>-426069.08999999985</v>
      </c>
      <c r="N45" s="100">
        <f aca="true" t="shared" si="13" ref="N45:N50">+L45-K45</f>
        <v>-269437.60999999987</v>
      </c>
    </row>
    <row r="46" spans="1:14" s="1" customFormat="1" ht="18" customHeight="1">
      <c r="A46" s="3">
        <v>58</v>
      </c>
      <c r="B46" s="5" t="s">
        <v>75</v>
      </c>
      <c r="C46" s="5" t="s">
        <v>76</v>
      </c>
      <c r="D46" s="61">
        <v>9459</v>
      </c>
      <c r="E46" s="62">
        <v>0</v>
      </c>
      <c r="F46" s="61">
        <v>114</v>
      </c>
      <c r="G46" s="62">
        <v>0</v>
      </c>
      <c r="H46" s="61">
        <v>6670</v>
      </c>
      <c r="I46" s="62">
        <v>0</v>
      </c>
      <c r="J46" s="67">
        <f t="shared" si="11"/>
        <v>16243</v>
      </c>
      <c r="K46" s="68">
        <f t="shared" si="11"/>
        <v>0</v>
      </c>
      <c r="L46" s="116">
        <v>70000</v>
      </c>
      <c r="M46" s="93">
        <f t="shared" si="12"/>
        <v>53757</v>
      </c>
      <c r="N46" s="100">
        <f t="shared" si="13"/>
        <v>70000</v>
      </c>
    </row>
    <row r="47" spans="1:14" s="1" customFormat="1" ht="18" customHeight="1">
      <c r="A47" s="3"/>
      <c r="B47" s="5" t="s">
        <v>334</v>
      </c>
      <c r="C47" s="5" t="s">
        <v>335</v>
      </c>
      <c r="D47" s="61">
        <v>0</v>
      </c>
      <c r="E47" s="62">
        <v>0</v>
      </c>
      <c r="F47" s="61">
        <v>0</v>
      </c>
      <c r="G47" s="62">
        <v>0</v>
      </c>
      <c r="H47" s="61">
        <v>0</v>
      </c>
      <c r="I47" s="62">
        <v>0</v>
      </c>
      <c r="J47" s="67">
        <f t="shared" si="11"/>
        <v>0</v>
      </c>
      <c r="K47" s="68">
        <f t="shared" si="11"/>
        <v>0</v>
      </c>
      <c r="L47" s="116">
        <v>29490</v>
      </c>
      <c r="M47" s="93">
        <f t="shared" si="12"/>
        <v>29490</v>
      </c>
      <c r="N47" s="100">
        <f t="shared" si="13"/>
        <v>29490</v>
      </c>
    </row>
    <row r="48" spans="1:14" s="1" customFormat="1" ht="18" customHeight="1">
      <c r="A48" s="3">
        <v>59</v>
      </c>
      <c r="B48" s="5" t="s">
        <v>77</v>
      </c>
      <c r="C48" s="5" t="s">
        <v>78</v>
      </c>
      <c r="D48" s="61">
        <v>1678</v>
      </c>
      <c r="E48" s="62">
        <v>1828.22</v>
      </c>
      <c r="F48" s="61">
        <v>66597</v>
      </c>
      <c r="G48" s="62">
        <v>61853.95</v>
      </c>
      <c r="H48" s="61">
        <v>62300</v>
      </c>
      <c r="I48" s="62">
        <v>62714.41</v>
      </c>
      <c r="J48" s="67">
        <f t="shared" si="11"/>
        <v>130575</v>
      </c>
      <c r="K48" s="68">
        <f t="shared" si="11"/>
        <v>126396.58</v>
      </c>
      <c r="L48" s="116">
        <v>71830</v>
      </c>
      <c r="M48" s="93">
        <f t="shared" si="12"/>
        <v>-58745</v>
      </c>
      <c r="N48" s="100">
        <f t="shared" si="13"/>
        <v>-54566.58</v>
      </c>
    </row>
    <row r="49" spans="1:14" s="1" customFormat="1" ht="18" customHeight="1">
      <c r="A49" s="3">
        <v>60</v>
      </c>
      <c r="B49" s="5" t="s">
        <v>79</v>
      </c>
      <c r="C49" s="5" t="s">
        <v>80</v>
      </c>
      <c r="D49" s="61">
        <v>4346</v>
      </c>
      <c r="E49" s="62">
        <v>3164.79</v>
      </c>
      <c r="F49" s="61">
        <v>15000</v>
      </c>
      <c r="G49" s="62">
        <v>14755.39</v>
      </c>
      <c r="H49" s="61">
        <v>86190</v>
      </c>
      <c r="I49" s="62">
        <v>82505.86</v>
      </c>
      <c r="J49" s="67">
        <f t="shared" si="11"/>
        <v>105536</v>
      </c>
      <c r="K49" s="68">
        <f t="shared" si="11"/>
        <v>100426.04000000001</v>
      </c>
      <c r="L49" s="116">
        <v>126190</v>
      </c>
      <c r="M49" s="93">
        <f t="shared" si="12"/>
        <v>20654</v>
      </c>
      <c r="N49" s="100">
        <f t="shared" si="13"/>
        <v>25763.959999999992</v>
      </c>
    </row>
    <row r="50" spans="1:14" s="1" customFormat="1" ht="31.5" customHeight="1" thickBot="1">
      <c r="A50" s="3">
        <v>61</v>
      </c>
      <c r="B50" s="5"/>
      <c r="C50" s="5" t="s">
        <v>81</v>
      </c>
      <c r="D50" s="61">
        <v>7454.12</v>
      </c>
      <c r="E50" s="62">
        <v>7454.12</v>
      </c>
      <c r="F50" s="61">
        <v>17880</v>
      </c>
      <c r="G50" s="62">
        <v>16616.3</v>
      </c>
      <c r="H50" s="61">
        <v>230750</v>
      </c>
      <c r="I50" s="62">
        <v>50063.78</v>
      </c>
      <c r="J50" s="67">
        <f t="shared" si="11"/>
        <v>256084.12</v>
      </c>
      <c r="K50" s="68">
        <f t="shared" si="11"/>
        <v>74134.2</v>
      </c>
      <c r="L50" s="116">
        <v>0</v>
      </c>
      <c r="M50" s="93">
        <f t="shared" si="12"/>
        <v>-256084.12</v>
      </c>
      <c r="N50" s="100">
        <f t="shared" si="13"/>
        <v>-74134.2</v>
      </c>
    </row>
    <row r="51" spans="1:14" s="1" customFormat="1" ht="18" customHeight="1" thickBot="1">
      <c r="A51" s="3">
        <v>63</v>
      </c>
      <c r="B51" s="71" t="s">
        <v>82</v>
      </c>
      <c r="C51" s="71" t="s">
        <v>83</v>
      </c>
      <c r="D51" s="72">
        <v>1500</v>
      </c>
      <c r="E51" s="73">
        <v>1500</v>
      </c>
      <c r="F51" s="72">
        <v>1272</v>
      </c>
      <c r="G51" s="73">
        <v>1160.04</v>
      </c>
      <c r="H51" s="72">
        <v>50640</v>
      </c>
      <c r="I51" s="73">
        <v>7551.8</v>
      </c>
      <c r="J51" s="74">
        <f>SUM(J52:J54)</f>
        <v>53412</v>
      </c>
      <c r="K51" s="75">
        <f>SUM(K52:K54)</f>
        <v>10211.84</v>
      </c>
      <c r="L51" s="91">
        <f>SUM(L52:L54)</f>
        <v>52750</v>
      </c>
      <c r="M51" s="91">
        <f>SUM(M52:M54)</f>
        <v>-662</v>
      </c>
      <c r="N51" s="75">
        <f>SUM(N52:N54)</f>
        <v>42538.159999999996</v>
      </c>
    </row>
    <row r="52" spans="1:14" s="1" customFormat="1" ht="18" customHeight="1">
      <c r="A52" s="3">
        <v>64</v>
      </c>
      <c r="B52" s="5" t="s">
        <v>84</v>
      </c>
      <c r="C52" s="5" t="s">
        <v>85</v>
      </c>
      <c r="D52" s="61">
        <v>0</v>
      </c>
      <c r="E52" s="62">
        <v>0</v>
      </c>
      <c r="F52" s="61">
        <v>0</v>
      </c>
      <c r="G52" s="62">
        <v>0</v>
      </c>
      <c r="H52" s="61">
        <v>640</v>
      </c>
      <c r="I52" s="62">
        <v>545</v>
      </c>
      <c r="J52" s="67">
        <f aca="true" t="shared" si="14" ref="J52:K54">+D52+F52+H52</f>
        <v>640</v>
      </c>
      <c r="K52" s="68">
        <f t="shared" si="14"/>
        <v>545</v>
      </c>
      <c r="L52" s="116">
        <v>650</v>
      </c>
      <c r="M52" s="93">
        <f>+L52-J52</f>
        <v>10</v>
      </c>
      <c r="N52" s="100">
        <f>+L52-K52</f>
        <v>105</v>
      </c>
    </row>
    <row r="53" spans="1:14" s="1" customFormat="1" ht="18" customHeight="1">
      <c r="A53" s="3">
        <v>65</v>
      </c>
      <c r="B53" s="5" t="s">
        <v>86</v>
      </c>
      <c r="C53" s="5" t="s">
        <v>87</v>
      </c>
      <c r="D53" s="61">
        <v>1500</v>
      </c>
      <c r="E53" s="62">
        <v>1500</v>
      </c>
      <c r="F53" s="61">
        <v>600</v>
      </c>
      <c r="G53" s="62">
        <v>600</v>
      </c>
      <c r="H53" s="61">
        <v>50000</v>
      </c>
      <c r="I53" s="62">
        <v>7006.8</v>
      </c>
      <c r="J53" s="67">
        <f t="shared" si="14"/>
        <v>52100</v>
      </c>
      <c r="K53" s="68">
        <f t="shared" si="14"/>
        <v>9106.8</v>
      </c>
      <c r="L53" s="116">
        <v>52100</v>
      </c>
      <c r="M53" s="93">
        <f>+L53-J53</f>
        <v>0</v>
      </c>
      <c r="N53" s="100">
        <f>+L53-K53</f>
        <v>42993.2</v>
      </c>
    </row>
    <row r="54" spans="1:14" s="1" customFormat="1" ht="18" customHeight="1" thickBot="1">
      <c r="A54" s="3">
        <v>66</v>
      </c>
      <c r="B54" s="5"/>
      <c r="C54" s="5" t="s">
        <v>88</v>
      </c>
      <c r="D54" s="61">
        <v>0</v>
      </c>
      <c r="E54" s="62">
        <v>0</v>
      </c>
      <c r="F54" s="61">
        <v>672</v>
      </c>
      <c r="G54" s="62">
        <v>560.04</v>
      </c>
      <c r="H54" s="61">
        <v>0</v>
      </c>
      <c r="I54" s="62">
        <v>0</v>
      </c>
      <c r="J54" s="67">
        <f t="shared" si="14"/>
        <v>672</v>
      </c>
      <c r="K54" s="68">
        <f t="shared" si="14"/>
        <v>560.04</v>
      </c>
      <c r="L54" s="116">
        <v>0</v>
      </c>
      <c r="M54" s="93">
        <f>+L54-J54</f>
        <v>-672</v>
      </c>
      <c r="N54" s="100">
        <f>+L54-K54</f>
        <v>-560.04</v>
      </c>
    </row>
    <row r="55" spans="1:14" s="1" customFormat="1" ht="18" customHeight="1" thickBot="1">
      <c r="A55" s="3">
        <v>67</v>
      </c>
      <c r="B55" s="71" t="s">
        <v>89</v>
      </c>
      <c r="C55" s="71" t="s">
        <v>90</v>
      </c>
      <c r="D55" s="72">
        <v>300210</v>
      </c>
      <c r="E55" s="73">
        <v>269037.19</v>
      </c>
      <c r="F55" s="72">
        <v>550475</v>
      </c>
      <c r="G55" s="73">
        <v>451722.77</v>
      </c>
      <c r="H55" s="72">
        <v>928720</v>
      </c>
      <c r="I55" s="73">
        <v>756613.28</v>
      </c>
      <c r="J55" s="74">
        <f>SUM(J56:J63)</f>
        <v>1779405</v>
      </c>
      <c r="K55" s="75">
        <f>SUM(K56:K63)</f>
        <v>1477373.2399999998</v>
      </c>
      <c r="L55" s="91">
        <f>SUM(L56:L63)</f>
        <v>3794050</v>
      </c>
      <c r="M55" s="91">
        <f>SUM(M56:M63)</f>
        <v>2014645</v>
      </c>
      <c r="N55" s="91">
        <f>SUM(N56:N63)</f>
        <v>2316676.76</v>
      </c>
    </row>
    <row r="56" spans="1:14" s="1" customFormat="1" ht="18" customHeight="1">
      <c r="A56" s="3">
        <v>69</v>
      </c>
      <c r="B56" s="5" t="s">
        <v>91</v>
      </c>
      <c r="C56" s="5" t="s">
        <v>92</v>
      </c>
      <c r="D56" s="61">
        <v>0</v>
      </c>
      <c r="E56" s="62">
        <v>0</v>
      </c>
      <c r="F56" s="61">
        <v>0</v>
      </c>
      <c r="G56" s="62">
        <v>0</v>
      </c>
      <c r="H56" s="61">
        <v>6000</v>
      </c>
      <c r="I56" s="62">
        <v>5786.4</v>
      </c>
      <c r="J56" s="67">
        <f>+D56+F56+H56</f>
        <v>6000</v>
      </c>
      <c r="K56" s="68">
        <f>+E56+G56+I56</f>
        <v>5786.4</v>
      </c>
      <c r="L56" s="116">
        <v>15000</v>
      </c>
      <c r="M56" s="93">
        <f>+L56-J56</f>
        <v>9000</v>
      </c>
      <c r="N56" s="100">
        <f>+L56-K56</f>
        <v>9213.6</v>
      </c>
    </row>
    <row r="57" spans="1:14" s="1" customFormat="1" ht="18" customHeight="1">
      <c r="A57" s="3">
        <v>73</v>
      </c>
      <c r="B57" s="5" t="s">
        <v>93</v>
      </c>
      <c r="C57" s="5" t="s">
        <v>94</v>
      </c>
      <c r="D57" s="61">
        <v>156998.52</v>
      </c>
      <c r="E57" s="62">
        <v>135055.37</v>
      </c>
      <c r="F57" s="61">
        <v>0</v>
      </c>
      <c r="G57" s="62">
        <v>0</v>
      </c>
      <c r="H57" s="61">
        <v>0</v>
      </c>
      <c r="I57" s="62">
        <v>0</v>
      </c>
      <c r="J57" s="67">
        <f aca="true" t="shared" si="15" ref="J57:J63">+D57+F57+H57</f>
        <v>156998.52</v>
      </c>
      <c r="K57" s="68">
        <f aca="true" t="shared" si="16" ref="K57:K63">+E57+G57+I57</f>
        <v>135055.37</v>
      </c>
      <c r="L57" s="116">
        <v>521440</v>
      </c>
      <c r="M57" s="93">
        <f aca="true" t="shared" si="17" ref="M57:M63">+L57-J57</f>
        <v>364441.48</v>
      </c>
      <c r="N57" s="100">
        <f aca="true" t="shared" si="18" ref="N57:N63">+L57-K57</f>
        <v>386384.63</v>
      </c>
    </row>
    <row r="58" spans="1:14" s="1" customFormat="1" ht="24.75" customHeight="1">
      <c r="A58" s="3">
        <v>74</v>
      </c>
      <c r="B58" s="5" t="s">
        <v>95</v>
      </c>
      <c r="C58" s="5" t="s">
        <v>96</v>
      </c>
      <c r="D58" s="61">
        <v>119807.84</v>
      </c>
      <c r="E58" s="62">
        <v>113465.1</v>
      </c>
      <c r="F58" s="61">
        <v>402700</v>
      </c>
      <c r="G58" s="62">
        <v>367714</v>
      </c>
      <c r="H58" s="61">
        <v>662700</v>
      </c>
      <c r="I58" s="62">
        <v>529108.2</v>
      </c>
      <c r="J58" s="67">
        <f t="shared" si="15"/>
        <v>1185207.8399999999</v>
      </c>
      <c r="K58" s="68">
        <f t="shared" si="16"/>
        <v>1010287.2999999999</v>
      </c>
      <c r="L58" s="116">
        <v>1164590</v>
      </c>
      <c r="M58" s="93">
        <f t="shared" si="17"/>
        <v>-20617.83999999985</v>
      </c>
      <c r="N58" s="100">
        <f t="shared" si="18"/>
        <v>154302.70000000007</v>
      </c>
    </row>
    <row r="59" spans="1:14" s="1" customFormat="1" ht="18" customHeight="1">
      <c r="A59" s="3">
        <v>75</v>
      </c>
      <c r="B59" s="5" t="s">
        <v>97</v>
      </c>
      <c r="C59" s="5" t="s">
        <v>98</v>
      </c>
      <c r="D59" s="61">
        <v>0</v>
      </c>
      <c r="E59" s="62">
        <v>0</v>
      </c>
      <c r="F59" s="61">
        <v>0</v>
      </c>
      <c r="G59" s="62">
        <v>0</v>
      </c>
      <c r="H59" s="61">
        <v>0</v>
      </c>
      <c r="I59" s="62">
        <v>0</v>
      </c>
      <c r="J59" s="67">
        <f t="shared" si="15"/>
        <v>0</v>
      </c>
      <c r="K59" s="68">
        <f t="shared" si="16"/>
        <v>0</v>
      </c>
      <c r="L59" s="116">
        <v>8210</v>
      </c>
      <c r="M59" s="93">
        <f t="shared" si="17"/>
        <v>8210</v>
      </c>
      <c r="N59" s="100">
        <f t="shared" si="18"/>
        <v>8210</v>
      </c>
    </row>
    <row r="60" spans="1:14" s="1" customFormat="1" ht="18" customHeight="1">
      <c r="A60" s="3">
        <v>79</v>
      </c>
      <c r="B60" s="5" t="s">
        <v>99</v>
      </c>
      <c r="C60" s="5" t="s">
        <v>100</v>
      </c>
      <c r="D60" s="61">
        <v>600</v>
      </c>
      <c r="E60" s="62">
        <v>600</v>
      </c>
      <c r="F60" s="61">
        <v>1200</v>
      </c>
      <c r="G60" s="62">
        <v>1200</v>
      </c>
      <c r="H60" s="61">
        <v>0</v>
      </c>
      <c r="I60" s="62">
        <v>0</v>
      </c>
      <c r="J60" s="67">
        <f t="shared" si="15"/>
        <v>1800</v>
      </c>
      <c r="K60" s="68">
        <f t="shared" si="16"/>
        <v>1800</v>
      </c>
      <c r="L60" s="116">
        <v>4800</v>
      </c>
      <c r="M60" s="93">
        <f t="shared" si="17"/>
        <v>3000</v>
      </c>
      <c r="N60" s="100">
        <f t="shared" si="18"/>
        <v>3000</v>
      </c>
    </row>
    <row r="61" spans="1:14" s="1" customFormat="1" ht="18" customHeight="1">
      <c r="A61" s="3">
        <v>80</v>
      </c>
      <c r="B61" s="5" t="s">
        <v>101</v>
      </c>
      <c r="C61" s="5" t="s">
        <v>102</v>
      </c>
      <c r="D61" s="61">
        <v>0</v>
      </c>
      <c r="E61" s="62">
        <v>0</v>
      </c>
      <c r="F61" s="61">
        <v>110315</v>
      </c>
      <c r="G61" s="62">
        <v>54934.44</v>
      </c>
      <c r="H61" s="61">
        <v>0</v>
      </c>
      <c r="I61" s="62">
        <v>0</v>
      </c>
      <c r="J61" s="67">
        <f t="shared" si="15"/>
        <v>110315</v>
      </c>
      <c r="K61" s="68">
        <f t="shared" si="16"/>
        <v>54934.44</v>
      </c>
      <c r="L61" s="116">
        <v>106290</v>
      </c>
      <c r="M61" s="93">
        <f t="shared" si="17"/>
        <v>-4025</v>
      </c>
      <c r="N61" s="100">
        <f t="shared" si="18"/>
        <v>51355.56</v>
      </c>
    </row>
    <row r="62" spans="1:14" s="1" customFormat="1" ht="18" customHeight="1">
      <c r="A62" s="3">
        <v>81</v>
      </c>
      <c r="B62" s="5" t="s">
        <v>103</v>
      </c>
      <c r="C62" s="5" t="s">
        <v>104</v>
      </c>
      <c r="D62" s="61">
        <v>0</v>
      </c>
      <c r="E62" s="62">
        <v>0</v>
      </c>
      <c r="F62" s="61">
        <v>30500</v>
      </c>
      <c r="G62" s="62">
        <v>22504</v>
      </c>
      <c r="H62" s="61">
        <v>13340</v>
      </c>
      <c r="I62" s="62">
        <v>754.65</v>
      </c>
      <c r="J62" s="67">
        <f t="shared" si="15"/>
        <v>43840</v>
      </c>
      <c r="K62" s="68">
        <f t="shared" si="16"/>
        <v>23258.65</v>
      </c>
      <c r="L62" s="116">
        <v>1612840</v>
      </c>
      <c r="M62" s="93">
        <f t="shared" si="17"/>
        <v>1569000</v>
      </c>
      <c r="N62" s="100">
        <f t="shared" si="18"/>
        <v>1589581.35</v>
      </c>
    </row>
    <row r="63" spans="1:14" s="1" customFormat="1" ht="18" customHeight="1" thickBot="1">
      <c r="A63" s="3">
        <v>82</v>
      </c>
      <c r="B63" s="5" t="s">
        <v>105</v>
      </c>
      <c r="C63" s="5" t="s">
        <v>106</v>
      </c>
      <c r="D63" s="61">
        <v>22803.64</v>
      </c>
      <c r="E63" s="62">
        <v>19916.72</v>
      </c>
      <c r="F63" s="61">
        <v>5760</v>
      </c>
      <c r="G63" s="62">
        <v>5370.33</v>
      </c>
      <c r="H63" s="61">
        <v>246680</v>
      </c>
      <c r="I63" s="62">
        <v>220964.03</v>
      </c>
      <c r="J63" s="67">
        <f t="shared" si="15"/>
        <v>275243.64</v>
      </c>
      <c r="K63" s="68">
        <f t="shared" si="16"/>
        <v>246251.08000000002</v>
      </c>
      <c r="L63" s="116">
        <v>360880</v>
      </c>
      <c r="M63" s="93">
        <f t="shared" si="17"/>
        <v>85636.35999999999</v>
      </c>
      <c r="N63" s="100">
        <f t="shared" si="18"/>
        <v>114628.91999999998</v>
      </c>
    </row>
    <row r="64" spans="1:14" s="1" customFormat="1" ht="18" customHeight="1" thickBot="1">
      <c r="A64" s="3">
        <v>84</v>
      </c>
      <c r="B64" s="71" t="s">
        <v>107</v>
      </c>
      <c r="C64" s="71" t="s">
        <v>108</v>
      </c>
      <c r="D64" s="72">
        <v>39575.05</v>
      </c>
      <c r="E64" s="73">
        <v>38252.63</v>
      </c>
      <c r="F64" s="72">
        <v>93230</v>
      </c>
      <c r="G64" s="73">
        <v>79832.32</v>
      </c>
      <c r="H64" s="72">
        <v>268850</v>
      </c>
      <c r="I64" s="73">
        <v>184133.45</v>
      </c>
      <c r="J64" s="74">
        <f>SUM(J65:J69)</f>
        <v>401655.05</v>
      </c>
      <c r="K64" s="75">
        <f>SUM(K65:K69)</f>
        <v>302218.39999999997</v>
      </c>
      <c r="L64" s="91">
        <f>SUM(L65:L69)</f>
        <v>1301530</v>
      </c>
      <c r="M64" s="91">
        <f>SUM(M65:M69)</f>
        <v>899874.95</v>
      </c>
      <c r="N64" s="91">
        <f>SUM(N65:N69)</f>
        <v>999311.6</v>
      </c>
    </row>
    <row r="65" spans="1:14" s="1" customFormat="1" ht="18" customHeight="1">
      <c r="A65" s="3">
        <v>85</v>
      </c>
      <c r="B65" s="5" t="s">
        <v>109</v>
      </c>
      <c r="C65" s="5" t="s">
        <v>110</v>
      </c>
      <c r="D65" s="61">
        <v>2771.88</v>
      </c>
      <c r="E65" s="62">
        <v>2421.21</v>
      </c>
      <c r="F65" s="61">
        <v>19230</v>
      </c>
      <c r="G65" s="62">
        <v>13640.83</v>
      </c>
      <c r="H65" s="61">
        <v>49500</v>
      </c>
      <c r="I65" s="62">
        <v>13900.78</v>
      </c>
      <c r="J65" s="67">
        <f aca="true" t="shared" si="19" ref="J65:K69">+D65+F65+H65</f>
        <v>71501.88</v>
      </c>
      <c r="K65" s="68">
        <f t="shared" si="19"/>
        <v>29962.82</v>
      </c>
      <c r="L65" s="116">
        <v>48370</v>
      </c>
      <c r="M65" s="93">
        <f>+L65-J65</f>
        <v>-23131.880000000005</v>
      </c>
      <c r="N65" s="100">
        <f>+L65-K65</f>
        <v>18407.18</v>
      </c>
    </row>
    <row r="66" spans="1:14" s="1" customFormat="1" ht="18" customHeight="1">
      <c r="A66" s="3"/>
      <c r="B66" s="5" t="s">
        <v>325</v>
      </c>
      <c r="C66" s="5" t="s">
        <v>326</v>
      </c>
      <c r="D66" s="61">
        <v>36803.17</v>
      </c>
      <c r="E66" s="62">
        <v>35831.42</v>
      </c>
      <c r="F66" s="61">
        <v>10000</v>
      </c>
      <c r="G66" s="62">
        <v>9568</v>
      </c>
      <c r="H66" s="61">
        <v>0</v>
      </c>
      <c r="I66" s="62">
        <v>0</v>
      </c>
      <c r="J66" s="67">
        <f t="shared" si="19"/>
        <v>46803.17</v>
      </c>
      <c r="K66" s="68">
        <f t="shared" si="19"/>
        <v>45399.42</v>
      </c>
      <c r="L66" s="116">
        <v>314000</v>
      </c>
      <c r="M66" s="93">
        <f>+L66-J66</f>
        <v>267196.83</v>
      </c>
      <c r="N66" s="100">
        <f>+L66-K66</f>
        <v>268600.58</v>
      </c>
    </row>
    <row r="67" spans="1:14" s="1" customFormat="1" ht="18" customHeight="1">
      <c r="A67" s="3">
        <v>86</v>
      </c>
      <c r="B67" s="5" t="s">
        <v>111</v>
      </c>
      <c r="C67" s="5" t="s">
        <v>112</v>
      </c>
      <c r="D67" s="61">
        <v>0</v>
      </c>
      <c r="E67" s="62">
        <v>0</v>
      </c>
      <c r="F67" s="61">
        <v>0</v>
      </c>
      <c r="G67" s="62">
        <v>0</v>
      </c>
      <c r="H67" s="61">
        <v>115040</v>
      </c>
      <c r="I67" s="62">
        <v>106478.69</v>
      </c>
      <c r="J67" s="67">
        <f t="shared" si="19"/>
        <v>115040</v>
      </c>
      <c r="K67" s="68">
        <f t="shared" si="19"/>
        <v>106478.69</v>
      </c>
      <c r="L67" s="116">
        <v>724440</v>
      </c>
      <c r="M67" s="93">
        <f>+L67-J67</f>
        <v>609400</v>
      </c>
      <c r="N67" s="100">
        <f>+L67-K67</f>
        <v>617961.31</v>
      </c>
    </row>
    <row r="68" spans="1:14" s="1" customFormat="1" ht="18" customHeight="1">
      <c r="A68" s="3">
        <v>87</v>
      </c>
      <c r="B68" s="5" t="s">
        <v>113</v>
      </c>
      <c r="C68" s="5" t="s">
        <v>114</v>
      </c>
      <c r="D68" s="61">
        <v>0</v>
      </c>
      <c r="E68" s="62">
        <v>0</v>
      </c>
      <c r="F68" s="61">
        <v>0</v>
      </c>
      <c r="G68" s="62">
        <v>0</v>
      </c>
      <c r="H68" s="61">
        <v>58500</v>
      </c>
      <c r="I68" s="62">
        <v>23461.8</v>
      </c>
      <c r="J68" s="67">
        <f t="shared" si="19"/>
        <v>58500</v>
      </c>
      <c r="K68" s="68">
        <f t="shared" si="19"/>
        <v>23461.8</v>
      </c>
      <c r="L68" s="116">
        <v>35000</v>
      </c>
      <c r="M68" s="93">
        <f>+L68-J68</f>
        <v>-23500</v>
      </c>
      <c r="N68" s="100">
        <f>+L68-K68</f>
        <v>11538.2</v>
      </c>
    </row>
    <row r="69" spans="1:14" s="1" customFormat="1" ht="31.5" customHeight="1" thickBot="1">
      <c r="A69" s="3">
        <v>88</v>
      </c>
      <c r="B69" s="5" t="s">
        <v>115</v>
      </c>
      <c r="C69" s="5" t="s">
        <v>116</v>
      </c>
      <c r="D69" s="61">
        <v>0</v>
      </c>
      <c r="E69" s="62">
        <v>0</v>
      </c>
      <c r="F69" s="61">
        <v>64000</v>
      </c>
      <c r="G69" s="62">
        <v>56623.49</v>
      </c>
      <c r="H69" s="61">
        <v>45810</v>
      </c>
      <c r="I69" s="62">
        <v>40292.18</v>
      </c>
      <c r="J69" s="67">
        <f t="shared" si="19"/>
        <v>109810</v>
      </c>
      <c r="K69" s="68">
        <f t="shared" si="19"/>
        <v>96915.67</v>
      </c>
      <c r="L69" s="116">
        <v>179720</v>
      </c>
      <c r="M69" s="93">
        <f>+L69-J69</f>
        <v>69910</v>
      </c>
      <c r="N69" s="100">
        <f>+L69-K69</f>
        <v>82804.33</v>
      </c>
    </row>
    <row r="70" spans="1:14" s="1" customFormat="1" ht="18" customHeight="1" thickBot="1">
      <c r="A70" s="3">
        <v>90</v>
      </c>
      <c r="B70" s="71" t="s">
        <v>117</v>
      </c>
      <c r="C70" s="71" t="s">
        <v>118</v>
      </c>
      <c r="D70" s="72">
        <v>68041.24</v>
      </c>
      <c r="E70" s="73">
        <v>46984.29</v>
      </c>
      <c r="F70" s="72">
        <v>143516</v>
      </c>
      <c r="G70" s="73">
        <v>132646.21</v>
      </c>
      <c r="H70" s="72">
        <v>411470</v>
      </c>
      <c r="I70" s="73">
        <v>274566.69</v>
      </c>
      <c r="J70" s="74">
        <f>SUM(J71:J74)</f>
        <v>623027.24</v>
      </c>
      <c r="K70" s="75">
        <f>SUM(K71:K74)</f>
        <v>454197.19000000006</v>
      </c>
      <c r="L70" s="91">
        <f>SUM(L71:L74)</f>
        <v>554350</v>
      </c>
      <c r="M70" s="91">
        <f>SUM(M71:M74)</f>
        <v>-68677.23999999999</v>
      </c>
      <c r="N70" s="91">
        <f>SUM(N71:N74)</f>
        <v>100152.80999999997</v>
      </c>
    </row>
    <row r="71" spans="1:14" s="1" customFormat="1" ht="18" customHeight="1">
      <c r="A71" s="3">
        <v>91</v>
      </c>
      <c r="B71" s="5" t="s">
        <v>119</v>
      </c>
      <c r="C71" s="5" t="s">
        <v>120</v>
      </c>
      <c r="D71" s="61">
        <v>2790</v>
      </c>
      <c r="E71" s="62">
        <v>1492.39</v>
      </c>
      <c r="F71" s="61">
        <v>0</v>
      </c>
      <c r="G71" s="62">
        <v>0</v>
      </c>
      <c r="H71" s="61">
        <v>0</v>
      </c>
      <c r="I71" s="62">
        <v>0</v>
      </c>
      <c r="J71" s="67">
        <f aca="true" t="shared" si="20" ref="J71:K74">+D71+F71+H71</f>
        <v>2790</v>
      </c>
      <c r="K71" s="68">
        <f t="shared" si="20"/>
        <v>1492.39</v>
      </c>
      <c r="L71" s="116">
        <v>0</v>
      </c>
      <c r="M71" s="93">
        <f>+L71-J71</f>
        <v>-2790</v>
      </c>
      <c r="N71" s="100">
        <f>+L71-K71</f>
        <v>-1492.39</v>
      </c>
    </row>
    <row r="72" spans="1:14" s="1" customFormat="1" ht="18" customHeight="1">
      <c r="A72" s="3">
        <v>93</v>
      </c>
      <c r="B72" s="5" t="s">
        <v>121</v>
      </c>
      <c r="C72" s="5" t="s">
        <v>122</v>
      </c>
      <c r="D72" s="61">
        <v>26667.13</v>
      </c>
      <c r="E72" s="62">
        <v>24451.86</v>
      </c>
      <c r="F72" s="61">
        <v>75000</v>
      </c>
      <c r="G72" s="62">
        <v>72392.05</v>
      </c>
      <c r="H72" s="61">
        <v>15000</v>
      </c>
      <c r="I72" s="62">
        <v>8851.7</v>
      </c>
      <c r="J72" s="67">
        <f t="shared" si="20"/>
        <v>116667.13</v>
      </c>
      <c r="K72" s="68">
        <f t="shared" si="20"/>
        <v>105695.61</v>
      </c>
      <c r="L72" s="116">
        <v>73500</v>
      </c>
      <c r="M72" s="93">
        <f>+L72-J72</f>
        <v>-43167.130000000005</v>
      </c>
      <c r="N72" s="100">
        <f>+L72-K72</f>
        <v>-32195.61</v>
      </c>
    </row>
    <row r="73" spans="1:14" s="1" customFormat="1" ht="18" customHeight="1">
      <c r="A73" s="3">
        <v>94</v>
      </c>
      <c r="B73" s="5" t="s">
        <v>123</v>
      </c>
      <c r="C73" s="5" t="s">
        <v>124</v>
      </c>
      <c r="D73" s="61">
        <v>22000</v>
      </c>
      <c r="E73" s="62">
        <v>6053.7</v>
      </c>
      <c r="F73" s="61">
        <v>30000</v>
      </c>
      <c r="G73" s="62">
        <v>30000</v>
      </c>
      <c r="H73" s="61">
        <v>105000</v>
      </c>
      <c r="I73" s="62">
        <v>105103.63</v>
      </c>
      <c r="J73" s="67">
        <f t="shared" si="20"/>
        <v>157000</v>
      </c>
      <c r="K73" s="68">
        <f t="shared" si="20"/>
        <v>141157.33000000002</v>
      </c>
      <c r="L73" s="116">
        <v>159000</v>
      </c>
      <c r="M73" s="93">
        <f>+L73-J73</f>
        <v>2000</v>
      </c>
      <c r="N73" s="100">
        <f>+L73-K73</f>
        <v>17842.669999999984</v>
      </c>
    </row>
    <row r="74" spans="1:14" s="1" customFormat="1" ht="30" customHeight="1" thickBot="1">
      <c r="A74" s="3">
        <v>95</v>
      </c>
      <c r="B74" s="5" t="s">
        <v>125</v>
      </c>
      <c r="C74" s="5" t="s">
        <v>126</v>
      </c>
      <c r="D74" s="61">
        <v>16584.11</v>
      </c>
      <c r="E74" s="62">
        <v>14986.34</v>
      </c>
      <c r="F74" s="61">
        <v>38516</v>
      </c>
      <c r="G74" s="62">
        <v>30254.16</v>
      </c>
      <c r="H74" s="61">
        <v>291470</v>
      </c>
      <c r="I74" s="62">
        <v>160611.36000000002</v>
      </c>
      <c r="J74" s="67">
        <f t="shared" si="20"/>
        <v>346570.11</v>
      </c>
      <c r="K74" s="68">
        <f t="shared" si="20"/>
        <v>205851.86000000002</v>
      </c>
      <c r="L74" s="116">
        <v>321850</v>
      </c>
      <c r="M74" s="93">
        <f>+L74-J74</f>
        <v>-24720.109999999986</v>
      </c>
      <c r="N74" s="100">
        <f>+L74-K74</f>
        <v>115998.13999999998</v>
      </c>
    </row>
    <row r="75" spans="1:14" s="1" customFormat="1" ht="18" customHeight="1" thickBot="1">
      <c r="A75" s="3">
        <v>97</v>
      </c>
      <c r="B75" s="71" t="s">
        <v>127</v>
      </c>
      <c r="C75" s="71" t="s">
        <v>128</v>
      </c>
      <c r="D75" s="72">
        <v>2000</v>
      </c>
      <c r="E75" s="73">
        <v>1784.32</v>
      </c>
      <c r="F75" s="72">
        <v>4220</v>
      </c>
      <c r="G75" s="73">
        <v>4200</v>
      </c>
      <c r="H75" s="72">
        <v>1500</v>
      </c>
      <c r="I75" s="73">
        <v>1500</v>
      </c>
      <c r="J75" s="74">
        <f>SUM(J76:J77)</f>
        <v>7720</v>
      </c>
      <c r="K75" s="75">
        <f>SUM(K76:K77)</f>
        <v>7484.32</v>
      </c>
      <c r="L75" s="91">
        <f>SUM(L76:L77)</f>
        <v>8320</v>
      </c>
      <c r="M75" s="91">
        <f>SUM(M76:M77)</f>
        <v>600</v>
      </c>
      <c r="N75" s="91">
        <f>SUM(N76:N77)</f>
        <v>835.6800000000003</v>
      </c>
    </row>
    <row r="76" spans="1:14" s="1" customFormat="1" ht="18" customHeight="1">
      <c r="A76" s="3">
        <v>99</v>
      </c>
      <c r="B76" s="5" t="s">
        <v>129</v>
      </c>
      <c r="C76" s="5" t="s">
        <v>130</v>
      </c>
      <c r="D76" s="61">
        <v>2000</v>
      </c>
      <c r="E76" s="62">
        <v>1784.32</v>
      </c>
      <c r="F76" s="61">
        <v>4220</v>
      </c>
      <c r="G76" s="62">
        <v>4200</v>
      </c>
      <c r="H76" s="61">
        <v>1500</v>
      </c>
      <c r="I76" s="62">
        <v>1500</v>
      </c>
      <c r="J76" s="67">
        <f>+D76+F76+H76</f>
        <v>7720</v>
      </c>
      <c r="K76" s="68">
        <f>+E76+G76+I76</f>
        <v>7484.32</v>
      </c>
      <c r="L76" s="116">
        <v>7720</v>
      </c>
      <c r="M76" s="93">
        <f>+L76-J76</f>
        <v>0</v>
      </c>
      <c r="N76" s="100">
        <f>+L76-K76</f>
        <v>235.6800000000003</v>
      </c>
    </row>
    <row r="77" spans="1:14" s="1" customFormat="1" ht="18" customHeight="1" thickBot="1">
      <c r="A77" s="3">
        <v>102</v>
      </c>
      <c r="B77" s="5" t="s">
        <v>131</v>
      </c>
      <c r="C77" s="5" t="s">
        <v>132</v>
      </c>
      <c r="D77" s="61">
        <v>0</v>
      </c>
      <c r="E77" s="62">
        <v>0</v>
      </c>
      <c r="F77" s="61">
        <v>0</v>
      </c>
      <c r="G77" s="62">
        <v>0</v>
      </c>
      <c r="H77" s="61">
        <v>0</v>
      </c>
      <c r="I77" s="62">
        <v>0</v>
      </c>
      <c r="J77" s="67">
        <f>+D77+F77+H77</f>
        <v>0</v>
      </c>
      <c r="K77" s="68">
        <f>+E77+G77+I77</f>
        <v>0</v>
      </c>
      <c r="L77" s="116">
        <v>600</v>
      </c>
      <c r="M77" s="93">
        <f>+L77-J77</f>
        <v>600</v>
      </c>
      <c r="N77" s="100">
        <f>+L77-K77</f>
        <v>600</v>
      </c>
    </row>
    <row r="78" spans="1:14" s="1" customFormat="1" ht="18" customHeight="1" thickBot="1">
      <c r="A78" s="3">
        <v>105</v>
      </c>
      <c r="B78" s="71" t="s">
        <v>133</v>
      </c>
      <c r="C78" s="71" t="s">
        <v>134</v>
      </c>
      <c r="D78" s="72">
        <v>149112.95</v>
      </c>
      <c r="E78" s="73">
        <v>145267.45</v>
      </c>
      <c r="F78" s="72">
        <v>647579</v>
      </c>
      <c r="G78" s="73">
        <v>577326.55</v>
      </c>
      <c r="H78" s="72">
        <v>1737350</v>
      </c>
      <c r="I78" s="73">
        <v>1415215.4</v>
      </c>
      <c r="J78" s="74">
        <f>SUM(J79:J89)</f>
        <v>2534041.9499999997</v>
      </c>
      <c r="K78" s="75">
        <f>SUM(K79:K89)</f>
        <v>2137809.4</v>
      </c>
      <c r="L78" s="91">
        <f>SUM(L79:L89)</f>
        <v>2291860</v>
      </c>
      <c r="M78" s="91">
        <f>SUM(M79:M89)</f>
        <v>-242181.94999999992</v>
      </c>
      <c r="N78" s="91">
        <f>SUM(N79:N89)</f>
        <v>154050.60000000006</v>
      </c>
    </row>
    <row r="79" spans="1:14" s="1" customFormat="1" ht="18" customHeight="1">
      <c r="A79" s="3">
        <v>106</v>
      </c>
      <c r="B79" s="5" t="s">
        <v>135</v>
      </c>
      <c r="C79" s="5" t="s">
        <v>136</v>
      </c>
      <c r="D79" s="61">
        <v>34826.85</v>
      </c>
      <c r="E79" s="62">
        <v>32327.030000000002</v>
      </c>
      <c r="F79" s="61">
        <v>64550</v>
      </c>
      <c r="G79" s="62">
        <v>62651.66</v>
      </c>
      <c r="H79" s="61">
        <v>244850</v>
      </c>
      <c r="I79" s="62">
        <v>231080.52</v>
      </c>
      <c r="J79" s="67">
        <f>+D79+F79+H79</f>
        <v>344226.85</v>
      </c>
      <c r="K79" s="68">
        <f>+E79+G79+I79</f>
        <v>326059.20999999996</v>
      </c>
      <c r="L79" s="116">
        <v>402000</v>
      </c>
      <c r="M79" s="93">
        <f>+L79-J79</f>
        <v>57773.15000000002</v>
      </c>
      <c r="N79" s="100">
        <f>+L79-K79</f>
        <v>75940.79000000004</v>
      </c>
    </row>
    <row r="80" spans="1:14" s="1" customFormat="1" ht="18" customHeight="1">
      <c r="A80" s="3">
        <v>107</v>
      </c>
      <c r="B80" s="5" t="s">
        <v>137</v>
      </c>
      <c r="C80" s="5" t="s">
        <v>138</v>
      </c>
      <c r="D80" s="61">
        <v>0</v>
      </c>
      <c r="E80" s="62">
        <v>0</v>
      </c>
      <c r="F80" s="61">
        <v>900</v>
      </c>
      <c r="G80" s="62">
        <v>899</v>
      </c>
      <c r="H80" s="61">
        <v>437000</v>
      </c>
      <c r="I80" s="62">
        <v>410786.97</v>
      </c>
      <c r="J80" s="67">
        <f aca="true" t="shared" si="21" ref="J80:J89">+D80+F80+H80</f>
        <v>437900</v>
      </c>
      <c r="K80" s="68">
        <f aca="true" t="shared" si="22" ref="K80:K89">+E80+G80+I80</f>
        <v>411685.97</v>
      </c>
      <c r="L80" s="116">
        <v>201500</v>
      </c>
      <c r="M80" s="93">
        <f aca="true" t="shared" si="23" ref="M80:M89">+L80-J80</f>
        <v>-236400</v>
      </c>
      <c r="N80" s="100">
        <f aca="true" t="shared" si="24" ref="N80:N89">+L80-K80</f>
        <v>-210185.96999999997</v>
      </c>
    </row>
    <row r="81" spans="1:14" s="1" customFormat="1" ht="18" customHeight="1">
      <c r="A81" s="3">
        <v>108</v>
      </c>
      <c r="B81" s="5" t="s">
        <v>139</v>
      </c>
      <c r="C81" s="5" t="s">
        <v>140</v>
      </c>
      <c r="D81" s="61">
        <v>25376.6</v>
      </c>
      <c r="E81" s="62">
        <v>26368.59</v>
      </c>
      <c r="F81" s="61">
        <v>41622</v>
      </c>
      <c r="G81" s="62">
        <v>31127.84</v>
      </c>
      <c r="H81" s="61">
        <v>50160</v>
      </c>
      <c r="I81" s="62">
        <v>41577.16</v>
      </c>
      <c r="J81" s="67">
        <f t="shared" si="21"/>
        <v>117158.6</v>
      </c>
      <c r="K81" s="68">
        <f t="shared" si="22"/>
        <v>99073.59</v>
      </c>
      <c r="L81" s="116">
        <v>115240</v>
      </c>
      <c r="M81" s="93">
        <f t="shared" si="23"/>
        <v>-1918.6000000000058</v>
      </c>
      <c r="N81" s="100">
        <f t="shared" si="24"/>
        <v>16166.410000000003</v>
      </c>
    </row>
    <row r="82" spans="1:14" s="1" customFormat="1" ht="18" customHeight="1">
      <c r="A82" s="3">
        <v>109</v>
      </c>
      <c r="B82" s="5" t="s">
        <v>141</v>
      </c>
      <c r="C82" s="5" t="s">
        <v>327</v>
      </c>
      <c r="D82" s="61">
        <v>22297</v>
      </c>
      <c r="E82" s="62">
        <v>22270.94</v>
      </c>
      <c r="F82" s="61">
        <v>34827</v>
      </c>
      <c r="G82" s="62">
        <v>30310.64</v>
      </c>
      <c r="H82" s="61">
        <v>17750</v>
      </c>
      <c r="I82" s="62">
        <v>15732.640000000001</v>
      </c>
      <c r="J82" s="67">
        <f t="shared" si="21"/>
        <v>74874</v>
      </c>
      <c r="K82" s="68">
        <f t="shared" si="22"/>
        <v>68314.22</v>
      </c>
      <c r="L82" s="116">
        <v>58740</v>
      </c>
      <c r="M82" s="93">
        <f t="shared" si="23"/>
        <v>-16134</v>
      </c>
      <c r="N82" s="100">
        <f t="shared" si="24"/>
        <v>-9574.220000000001</v>
      </c>
    </row>
    <row r="83" spans="1:14" s="1" customFormat="1" ht="18" customHeight="1">
      <c r="A83" s="3">
        <v>110</v>
      </c>
      <c r="B83" s="5" t="s">
        <v>142</v>
      </c>
      <c r="C83" s="5" t="s">
        <v>143</v>
      </c>
      <c r="D83" s="61">
        <v>46369.92</v>
      </c>
      <c r="E83" s="62">
        <v>46803.22</v>
      </c>
      <c r="F83" s="61">
        <v>90311</v>
      </c>
      <c r="G83" s="62">
        <v>89242.93</v>
      </c>
      <c r="H83" s="61">
        <v>268800</v>
      </c>
      <c r="I83" s="62">
        <v>256759.78</v>
      </c>
      <c r="J83" s="67">
        <f t="shared" si="21"/>
        <v>405480.92</v>
      </c>
      <c r="K83" s="68">
        <f t="shared" si="22"/>
        <v>392805.93</v>
      </c>
      <c r="L83" s="116">
        <v>412000</v>
      </c>
      <c r="M83" s="93">
        <f t="shared" si="23"/>
        <v>6519.080000000016</v>
      </c>
      <c r="N83" s="100">
        <f t="shared" si="24"/>
        <v>19194.070000000007</v>
      </c>
    </row>
    <row r="84" spans="1:14" s="1" customFormat="1" ht="18" customHeight="1">
      <c r="A84" s="3">
        <v>111</v>
      </c>
      <c r="B84" s="5" t="s">
        <v>144</v>
      </c>
      <c r="C84" s="5" t="s">
        <v>328</v>
      </c>
      <c r="D84" s="61">
        <v>14742.58</v>
      </c>
      <c r="E84" s="62">
        <v>12553.59</v>
      </c>
      <c r="F84" s="61">
        <v>207735</v>
      </c>
      <c r="G84" s="62">
        <v>191322.84</v>
      </c>
      <c r="H84" s="61">
        <v>601740</v>
      </c>
      <c r="I84" s="62">
        <v>363909.3</v>
      </c>
      <c r="J84" s="67">
        <f t="shared" si="21"/>
        <v>824217.58</v>
      </c>
      <c r="K84" s="68">
        <f t="shared" si="22"/>
        <v>567785.73</v>
      </c>
      <c r="L84" s="116">
        <v>888920</v>
      </c>
      <c r="M84" s="93">
        <f t="shared" si="23"/>
        <v>64702.42000000004</v>
      </c>
      <c r="N84" s="100">
        <f t="shared" si="24"/>
        <v>321134.27</v>
      </c>
    </row>
    <row r="85" spans="1:14" s="1" customFormat="1" ht="18" customHeight="1">
      <c r="A85" s="3">
        <v>112</v>
      </c>
      <c r="B85" s="5" t="s">
        <v>145</v>
      </c>
      <c r="C85" s="5" t="s">
        <v>146</v>
      </c>
      <c r="D85" s="61">
        <v>0</v>
      </c>
      <c r="E85" s="62">
        <v>0</v>
      </c>
      <c r="F85" s="61">
        <v>3940</v>
      </c>
      <c r="G85" s="62">
        <v>2274.68</v>
      </c>
      <c r="H85" s="61">
        <v>0</v>
      </c>
      <c r="I85" s="62">
        <v>0</v>
      </c>
      <c r="J85" s="67">
        <f t="shared" si="21"/>
        <v>3940</v>
      </c>
      <c r="K85" s="68">
        <f t="shared" si="22"/>
        <v>2274.68</v>
      </c>
      <c r="L85" s="116">
        <v>3850</v>
      </c>
      <c r="M85" s="93">
        <f t="shared" si="23"/>
        <v>-90</v>
      </c>
      <c r="N85" s="100">
        <f t="shared" si="24"/>
        <v>1575.3200000000002</v>
      </c>
    </row>
    <row r="86" spans="1:14" s="1" customFormat="1" ht="18" customHeight="1">
      <c r="A86" s="3">
        <v>116</v>
      </c>
      <c r="B86" s="5" t="s">
        <v>147</v>
      </c>
      <c r="C86" s="5" t="s">
        <v>148</v>
      </c>
      <c r="D86" s="61">
        <v>0</v>
      </c>
      <c r="E86" s="62">
        <v>0</v>
      </c>
      <c r="F86" s="61">
        <v>35450</v>
      </c>
      <c r="G86" s="62">
        <v>35439.520000000004</v>
      </c>
      <c r="H86" s="61">
        <v>0</v>
      </c>
      <c r="I86" s="62">
        <v>0</v>
      </c>
      <c r="J86" s="67">
        <f t="shared" si="21"/>
        <v>35450</v>
      </c>
      <c r="K86" s="68">
        <f t="shared" si="22"/>
        <v>35439.520000000004</v>
      </c>
      <c r="L86" s="116">
        <v>0</v>
      </c>
      <c r="M86" s="93">
        <f t="shared" si="23"/>
        <v>-35450</v>
      </c>
      <c r="N86" s="100">
        <f t="shared" si="24"/>
        <v>-35439.520000000004</v>
      </c>
    </row>
    <row r="87" spans="1:14" s="1" customFormat="1" ht="18" customHeight="1">
      <c r="A87" s="3">
        <v>119</v>
      </c>
      <c r="B87" s="5" t="s">
        <v>149</v>
      </c>
      <c r="C87" s="5" t="s">
        <v>150</v>
      </c>
      <c r="D87" s="61">
        <v>1000</v>
      </c>
      <c r="E87" s="62">
        <v>444.08</v>
      </c>
      <c r="F87" s="61">
        <v>26929</v>
      </c>
      <c r="G87" s="62">
        <v>26292.64</v>
      </c>
      <c r="H87" s="61">
        <v>21350</v>
      </c>
      <c r="I87" s="62">
        <v>18337.44</v>
      </c>
      <c r="J87" s="67">
        <f t="shared" si="21"/>
        <v>49279</v>
      </c>
      <c r="K87" s="68">
        <f t="shared" si="22"/>
        <v>45074.16</v>
      </c>
      <c r="L87" s="116">
        <v>42490</v>
      </c>
      <c r="M87" s="93">
        <f t="shared" si="23"/>
        <v>-6789</v>
      </c>
      <c r="N87" s="100">
        <f t="shared" si="24"/>
        <v>-2584.1600000000035</v>
      </c>
    </row>
    <row r="88" spans="1:14" s="1" customFormat="1" ht="18" customHeight="1">
      <c r="A88" s="3">
        <v>120</v>
      </c>
      <c r="B88" s="5" t="s">
        <v>151</v>
      </c>
      <c r="C88" s="5" t="s">
        <v>152</v>
      </c>
      <c r="D88" s="61">
        <v>4500</v>
      </c>
      <c r="E88" s="62">
        <v>4500</v>
      </c>
      <c r="F88" s="61">
        <v>0</v>
      </c>
      <c r="G88" s="62">
        <v>0</v>
      </c>
      <c r="H88" s="61">
        <v>1000</v>
      </c>
      <c r="I88" s="62">
        <v>670</v>
      </c>
      <c r="J88" s="67">
        <f t="shared" si="21"/>
        <v>5500</v>
      </c>
      <c r="K88" s="68">
        <f t="shared" si="22"/>
        <v>5170</v>
      </c>
      <c r="L88" s="116">
        <v>9000</v>
      </c>
      <c r="M88" s="93">
        <f t="shared" si="23"/>
        <v>3500</v>
      </c>
      <c r="N88" s="100">
        <f t="shared" si="24"/>
        <v>3830</v>
      </c>
    </row>
    <row r="89" spans="1:14" s="1" customFormat="1" ht="25.5" customHeight="1" thickBot="1">
      <c r="A89" s="3">
        <v>121</v>
      </c>
      <c r="B89" s="5" t="s">
        <v>153</v>
      </c>
      <c r="C89" s="5" t="s">
        <v>154</v>
      </c>
      <c r="D89" s="61">
        <v>0</v>
      </c>
      <c r="E89" s="62">
        <v>0</v>
      </c>
      <c r="F89" s="61">
        <v>141315</v>
      </c>
      <c r="G89" s="62">
        <v>107764.8</v>
      </c>
      <c r="H89" s="61">
        <v>94700</v>
      </c>
      <c r="I89" s="62">
        <v>76361.59</v>
      </c>
      <c r="J89" s="67">
        <f t="shared" si="21"/>
        <v>236015</v>
      </c>
      <c r="K89" s="68">
        <f t="shared" si="22"/>
        <v>184126.39</v>
      </c>
      <c r="L89" s="116">
        <v>158120</v>
      </c>
      <c r="M89" s="93">
        <f t="shared" si="23"/>
        <v>-77895</v>
      </c>
      <c r="N89" s="100">
        <f t="shared" si="24"/>
        <v>-26006.390000000014</v>
      </c>
    </row>
    <row r="90" spans="1:14" s="1" customFormat="1" ht="18" customHeight="1" thickBot="1">
      <c r="A90" s="3">
        <v>129</v>
      </c>
      <c r="B90" s="71" t="s">
        <v>155</v>
      </c>
      <c r="C90" s="71" t="s">
        <v>156</v>
      </c>
      <c r="D90" s="72">
        <v>910406.91</v>
      </c>
      <c r="E90" s="73">
        <v>876208.22</v>
      </c>
      <c r="F90" s="72">
        <v>2367120</v>
      </c>
      <c r="G90" s="73">
        <v>2317250.42</v>
      </c>
      <c r="H90" s="72">
        <v>7162700</v>
      </c>
      <c r="I90" s="73">
        <v>6967210.2</v>
      </c>
      <c r="J90" s="74">
        <f>SUM(J91:J96)</f>
        <v>10440226.91</v>
      </c>
      <c r="K90" s="75">
        <f>SUM(K91:K96)</f>
        <v>10160668.839999998</v>
      </c>
      <c r="L90" s="91">
        <f>SUM(L91:L96)</f>
        <v>8850600</v>
      </c>
      <c r="M90" s="91">
        <f>SUM(M91:M96)</f>
        <v>-1589626.9099999997</v>
      </c>
      <c r="N90" s="91">
        <f>SUM(N91:N96)</f>
        <v>-1310068.8399999996</v>
      </c>
    </row>
    <row r="91" spans="1:14" s="1" customFormat="1" ht="18" customHeight="1">
      <c r="A91" s="3">
        <v>130</v>
      </c>
      <c r="B91" s="5" t="s">
        <v>157</v>
      </c>
      <c r="C91" s="5" t="s">
        <v>158</v>
      </c>
      <c r="D91" s="61">
        <v>207558.75</v>
      </c>
      <c r="E91" s="62">
        <v>188440.23</v>
      </c>
      <c r="F91" s="61">
        <v>640015</v>
      </c>
      <c r="G91" s="62">
        <v>610124.68</v>
      </c>
      <c r="H91" s="61">
        <v>3759720</v>
      </c>
      <c r="I91" s="62">
        <v>3690611.47</v>
      </c>
      <c r="J91" s="67">
        <f aca="true" t="shared" si="25" ref="J91:K96">+D91+F91+H91</f>
        <v>4607293.75</v>
      </c>
      <c r="K91" s="68">
        <f t="shared" si="25"/>
        <v>4489176.38</v>
      </c>
      <c r="L91" s="116">
        <v>3132110</v>
      </c>
      <c r="M91" s="93">
        <f aca="true" t="shared" si="26" ref="M91:M96">+L91-J91</f>
        <v>-1475183.75</v>
      </c>
      <c r="N91" s="100">
        <f aca="true" t="shared" si="27" ref="N91:N96">+L91-K91</f>
        <v>-1357066.38</v>
      </c>
    </row>
    <row r="92" spans="1:14" s="1" customFormat="1" ht="24" customHeight="1">
      <c r="A92" s="3">
        <v>131</v>
      </c>
      <c r="B92" s="5" t="s">
        <v>159</v>
      </c>
      <c r="C92" s="5" t="s">
        <v>160</v>
      </c>
      <c r="D92" s="61">
        <v>617100.27</v>
      </c>
      <c r="E92" s="62">
        <v>607215.05</v>
      </c>
      <c r="F92" s="61">
        <v>1393410</v>
      </c>
      <c r="G92" s="62">
        <v>1379225.62</v>
      </c>
      <c r="H92" s="61">
        <v>2713710</v>
      </c>
      <c r="I92" s="62">
        <v>2659033.92</v>
      </c>
      <c r="J92" s="67">
        <f t="shared" si="25"/>
        <v>4724220.27</v>
      </c>
      <c r="K92" s="68">
        <f t="shared" si="25"/>
        <v>4645474.59</v>
      </c>
      <c r="L92" s="116">
        <v>4326970</v>
      </c>
      <c r="M92" s="93">
        <f t="shared" si="26"/>
        <v>-397250.26999999955</v>
      </c>
      <c r="N92" s="100">
        <f t="shared" si="27"/>
        <v>-318504.58999999985</v>
      </c>
    </row>
    <row r="93" spans="1:14" s="1" customFormat="1" ht="18" customHeight="1">
      <c r="A93" s="3"/>
      <c r="B93" s="5" t="s">
        <v>329</v>
      </c>
      <c r="C93" s="5" t="s">
        <v>330</v>
      </c>
      <c r="D93" s="61">
        <v>19500</v>
      </c>
      <c r="E93" s="62">
        <v>20598.29</v>
      </c>
      <c r="F93" s="61">
        <v>162231</v>
      </c>
      <c r="G93" s="62">
        <v>157272.52</v>
      </c>
      <c r="H93" s="61">
        <v>275850</v>
      </c>
      <c r="I93" s="62">
        <v>224800.13</v>
      </c>
      <c r="J93" s="67">
        <f t="shared" si="25"/>
        <v>457581</v>
      </c>
      <c r="K93" s="68">
        <f t="shared" si="25"/>
        <v>402670.94</v>
      </c>
      <c r="L93" s="116">
        <v>730860</v>
      </c>
      <c r="M93" s="93">
        <f t="shared" si="26"/>
        <v>273279</v>
      </c>
      <c r="N93" s="100">
        <f t="shared" si="27"/>
        <v>328189.06</v>
      </c>
    </row>
    <row r="94" spans="1:14" s="1" customFormat="1" ht="18" customHeight="1">
      <c r="A94" s="3">
        <v>139</v>
      </c>
      <c r="B94" s="5" t="s">
        <v>161</v>
      </c>
      <c r="C94" s="5" t="s">
        <v>162</v>
      </c>
      <c r="D94" s="61">
        <v>15912</v>
      </c>
      <c r="E94" s="62">
        <v>12763.79</v>
      </c>
      <c r="F94" s="61">
        <v>57000</v>
      </c>
      <c r="G94" s="62">
        <v>57000</v>
      </c>
      <c r="H94" s="61">
        <v>146380</v>
      </c>
      <c r="I94" s="62">
        <v>142462.86000000002</v>
      </c>
      <c r="J94" s="67">
        <f t="shared" si="25"/>
        <v>219292</v>
      </c>
      <c r="K94" s="68">
        <f t="shared" si="25"/>
        <v>212226.65000000002</v>
      </c>
      <c r="L94" s="116">
        <v>214490</v>
      </c>
      <c r="M94" s="93">
        <f t="shared" si="26"/>
        <v>-4802</v>
      </c>
      <c r="N94" s="100">
        <f t="shared" si="27"/>
        <v>2263.3499999999767</v>
      </c>
    </row>
    <row r="95" spans="1:14" s="1" customFormat="1" ht="18" customHeight="1">
      <c r="A95" s="3">
        <v>140</v>
      </c>
      <c r="B95" s="5" t="s">
        <v>163</v>
      </c>
      <c r="C95" s="5" t="s">
        <v>164</v>
      </c>
      <c r="D95" s="61">
        <v>50335.89</v>
      </c>
      <c r="E95" s="62">
        <v>47190.86</v>
      </c>
      <c r="F95" s="61">
        <v>81480</v>
      </c>
      <c r="G95" s="62">
        <v>80951.88</v>
      </c>
      <c r="H95" s="61">
        <v>196950</v>
      </c>
      <c r="I95" s="62">
        <v>182525.6</v>
      </c>
      <c r="J95" s="67">
        <f t="shared" si="25"/>
        <v>328765.89</v>
      </c>
      <c r="K95" s="68">
        <f t="shared" si="25"/>
        <v>310668.34</v>
      </c>
      <c r="L95" s="116">
        <v>323990</v>
      </c>
      <c r="M95" s="93">
        <f t="shared" si="26"/>
        <v>-4775.890000000014</v>
      </c>
      <c r="N95" s="100">
        <f t="shared" si="27"/>
        <v>13321.659999999974</v>
      </c>
    </row>
    <row r="96" spans="1:14" s="1" customFormat="1" ht="18" customHeight="1" thickBot="1">
      <c r="A96" s="3">
        <v>143</v>
      </c>
      <c r="B96" s="5" t="s">
        <v>165</v>
      </c>
      <c r="C96" s="5" t="s">
        <v>166</v>
      </c>
      <c r="D96" s="61"/>
      <c r="E96" s="62"/>
      <c r="F96" s="61">
        <v>32984</v>
      </c>
      <c r="G96" s="62">
        <v>32675.72</v>
      </c>
      <c r="H96" s="61">
        <v>70090</v>
      </c>
      <c r="I96" s="62">
        <v>67776.22</v>
      </c>
      <c r="J96" s="67">
        <f t="shared" si="25"/>
        <v>103074</v>
      </c>
      <c r="K96" s="68">
        <f t="shared" si="25"/>
        <v>100451.94</v>
      </c>
      <c r="L96" s="116">
        <v>122180</v>
      </c>
      <c r="M96" s="93">
        <f t="shared" si="26"/>
        <v>19106</v>
      </c>
      <c r="N96" s="100">
        <f t="shared" si="27"/>
        <v>21728.059999999998</v>
      </c>
    </row>
    <row r="97" spans="1:14" s="1" customFormat="1" ht="18" customHeight="1" thickBot="1">
      <c r="A97" s="3">
        <v>145</v>
      </c>
      <c r="B97" s="71" t="s">
        <v>167</v>
      </c>
      <c r="C97" s="71" t="s">
        <v>168</v>
      </c>
      <c r="D97" s="72">
        <v>283078.91000000003</v>
      </c>
      <c r="E97" s="73">
        <v>262238.47000000003</v>
      </c>
      <c r="F97" s="72">
        <v>361845</v>
      </c>
      <c r="G97" s="73">
        <v>350422.17</v>
      </c>
      <c r="H97" s="72">
        <v>1638460</v>
      </c>
      <c r="I97" s="73">
        <v>1288424.6099999999</v>
      </c>
      <c r="J97" s="74">
        <f>SUM(J98:J106)</f>
        <v>2283383.9099999997</v>
      </c>
      <c r="K97" s="75">
        <f>SUM(K98:K106)</f>
        <v>1901085.25</v>
      </c>
      <c r="L97" s="91">
        <f>SUM(L98:L106)</f>
        <v>2612220</v>
      </c>
      <c r="M97" s="91">
        <f>SUM(M98:M106)</f>
        <v>328836.0900000001</v>
      </c>
      <c r="N97" s="91">
        <f>SUM(N98:N106)</f>
        <v>711134.75</v>
      </c>
    </row>
    <row r="98" spans="1:14" s="1" customFormat="1" ht="22.5" customHeight="1">
      <c r="A98" s="3">
        <v>146</v>
      </c>
      <c r="B98" s="5" t="s">
        <v>169</v>
      </c>
      <c r="C98" s="5" t="s">
        <v>170</v>
      </c>
      <c r="D98" s="61">
        <v>0</v>
      </c>
      <c r="E98" s="62">
        <v>0</v>
      </c>
      <c r="F98" s="61">
        <v>600</v>
      </c>
      <c r="G98" s="62">
        <v>250</v>
      </c>
      <c r="H98" s="61">
        <v>0</v>
      </c>
      <c r="I98" s="62">
        <v>0</v>
      </c>
      <c r="J98" s="67">
        <f>+D98+F98+H98</f>
        <v>600</v>
      </c>
      <c r="K98" s="68">
        <f>+E98+G98+I98</f>
        <v>250</v>
      </c>
      <c r="L98" s="116">
        <v>0</v>
      </c>
      <c r="M98" s="93">
        <f>+L98-J98</f>
        <v>-600</v>
      </c>
      <c r="N98" s="100">
        <f>+L98-K98</f>
        <v>-250</v>
      </c>
    </row>
    <row r="99" spans="1:14" s="1" customFormat="1" ht="18" customHeight="1">
      <c r="A99" s="3">
        <v>148</v>
      </c>
      <c r="B99" s="5" t="s">
        <v>171</v>
      </c>
      <c r="C99" s="5" t="s">
        <v>172</v>
      </c>
      <c r="D99" s="61">
        <v>4198</v>
      </c>
      <c r="E99" s="62">
        <v>3978.27</v>
      </c>
      <c r="F99" s="61">
        <v>39000</v>
      </c>
      <c r="G99" s="62">
        <v>38073.23</v>
      </c>
      <c r="H99" s="61">
        <v>119570</v>
      </c>
      <c r="I99" s="62">
        <v>109167.83</v>
      </c>
      <c r="J99" s="67">
        <f aca="true" t="shared" si="28" ref="J99:J106">+D99+F99+H99</f>
        <v>162768</v>
      </c>
      <c r="K99" s="68">
        <f aca="true" t="shared" si="29" ref="K99:K106">+E99+G99+I99</f>
        <v>151219.33000000002</v>
      </c>
      <c r="L99" s="116">
        <v>156290</v>
      </c>
      <c r="M99" s="93">
        <f aca="true" t="shared" si="30" ref="M99:M106">+L99-J99</f>
        <v>-6478</v>
      </c>
      <c r="N99" s="100">
        <f aca="true" t="shared" si="31" ref="N99:N106">+L99-K99</f>
        <v>5070.669999999984</v>
      </c>
    </row>
    <row r="100" spans="1:14" s="1" customFormat="1" ht="18" customHeight="1">
      <c r="A100" s="3">
        <v>149</v>
      </c>
      <c r="B100" s="5" t="s">
        <v>173</v>
      </c>
      <c r="C100" s="5" t="s">
        <v>174</v>
      </c>
      <c r="D100" s="61">
        <v>174637.7</v>
      </c>
      <c r="E100" s="62">
        <v>178201.34</v>
      </c>
      <c r="F100" s="61">
        <v>221440</v>
      </c>
      <c r="G100" s="62">
        <v>219445.7</v>
      </c>
      <c r="H100" s="61">
        <v>900290</v>
      </c>
      <c r="I100" s="62">
        <v>673363.17</v>
      </c>
      <c r="J100" s="67">
        <f t="shared" si="28"/>
        <v>1296367.7</v>
      </c>
      <c r="K100" s="68">
        <f t="shared" si="29"/>
        <v>1071010.21</v>
      </c>
      <c r="L100" s="116">
        <v>1183850</v>
      </c>
      <c r="M100" s="93">
        <f t="shared" si="30"/>
        <v>-112517.69999999995</v>
      </c>
      <c r="N100" s="100">
        <f t="shared" si="31"/>
        <v>112839.79000000004</v>
      </c>
    </row>
    <row r="101" spans="1:14" s="1" customFormat="1" ht="18" customHeight="1">
      <c r="A101" s="3">
        <v>150</v>
      </c>
      <c r="B101" s="5" t="s">
        <v>175</v>
      </c>
      <c r="C101" s="5" t="s">
        <v>176</v>
      </c>
      <c r="D101" s="61">
        <v>6000</v>
      </c>
      <c r="E101" s="62">
        <v>5902</v>
      </c>
      <c r="F101" s="61">
        <v>24750</v>
      </c>
      <c r="G101" s="62">
        <v>24157.36</v>
      </c>
      <c r="H101" s="61">
        <v>51190</v>
      </c>
      <c r="I101" s="62">
        <v>44876.11</v>
      </c>
      <c r="J101" s="67">
        <f t="shared" si="28"/>
        <v>81940</v>
      </c>
      <c r="K101" s="68">
        <f t="shared" si="29"/>
        <v>74935.47</v>
      </c>
      <c r="L101" s="116">
        <v>90300</v>
      </c>
      <c r="M101" s="93">
        <f t="shared" si="30"/>
        <v>8360</v>
      </c>
      <c r="N101" s="100">
        <f t="shared" si="31"/>
        <v>15364.529999999999</v>
      </c>
    </row>
    <row r="102" spans="1:14" s="1" customFormat="1" ht="26.25" customHeight="1">
      <c r="A102" s="3">
        <v>152</v>
      </c>
      <c r="B102" s="5" t="s">
        <v>177</v>
      </c>
      <c r="C102" s="5" t="s">
        <v>178</v>
      </c>
      <c r="D102" s="61">
        <v>0</v>
      </c>
      <c r="E102" s="62">
        <v>0</v>
      </c>
      <c r="F102" s="61">
        <v>450</v>
      </c>
      <c r="G102" s="62">
        <v>450</v>
      </c>
      <c r="H102" s="61">
        <v>0</v>
      </c>
      <c r="I102" s="62">
        <v>0</v>
      </c>
      <c r="J102" s="67">
        <f t="shared" si="28"/>
        <v>450</v>
      </c>
      <c r="K102" s="68">
        <f t="shared" si="29"/>
        <v>450</v>
      </c>
      <c r="L102" s="116">
        <v>294430</v>
      </c>
      <c r="M102" s="93">
        <f t="shared" si="30"/>
        <v>293980</v>
      </c>
      <c r="N102" s="100">
        <f t="shared" si="31"/>
        <v>293980</v>
      </c>
    </row>
    <row r="103" spans="1:14" s="1" customFormat="1" ht="24" customHeight="1">
      <c r="A103" s="3">
        <v>153</v>
      </c>
      <c r="B103" s="5" t="s">
        <v>179</v>
      </c>
      <c r="C103" s="5" t="s">
        <v>180</v>
      </c>
      <c r="D103" s="61">
        <v>24453</v>
      </c>
      <c r="E103" s="62">
        <v>20543.18</v>
      </c>
      <c r="F103" s="61">
        <v>62050</v>
      </c>
      <c r="G103" s="62">
        <v>58399.24</v>
      </c>
      <c r="H103" s="61">
        <v>131840</v>
      </c>
      <c r="I103" s="62">
        <v>99522.77</v>
      </c>
      <c r="J103" s="67">
        <f t="shared" si="28"/>
        <v>218343</v>
      </c>
      <c r="K103" s="68">
        <f t="shared" si="29"/>
        <v>178465.19</v>
      </c>
      <c r="L103" s="116">
        <v>215980</v>
      </c>
      <c r="M103" s="93">
        <f t="shared" si="30"/>
        <v>-2363</v>
      </c>
      <c r="N103" s="100">
        <f t="shared" si="31"/>
        <v>37514.81</v>
      </c>
    </row>
    <row r="104" spans="1:14" s="1" customFormat="1" ht="24.75" customHeight="1">
      <c r="A104" s="3">
        <v>155</v>
      </c>
      <c r="B104" s="5" t="s">
        <v>181</v>
      </c>
      <c r="C104" s="5" t="s">
        <v>182</v>
      </c>
      <c r="D104" s="61">
        <v>0</v>
      </c>
      <c r="E104" s="62">
        <v>0</v>
      </c>
      <c r="F104" s="61">
        <v>0</v>
      </c>
      <c r="G104" s="62">
        <v>0</v>
      </c>
      <c r="H104" s="61">
        <v>104270</v>
      </c>
      <c r="I104" s="62">
        <v>96700.84</v>
      </c>
      <c r="J104" s="67">
        <f t="shared" si="28"/>
        <v>104270</v>
      </c>
      <c r="K104" s="68">
        <f t="shared" si="29"/>
        <v>96700.84</v>
      </c>
      <c r="L104" s="116">
        <v>133860</v>
      </c>
      <c r="M104" s="93">
        <f t="shared" si="30"/>
        <v>29590</v>
      </c>
      <c r="N104" s="100">
        <f t="shared" si="31"/>
        <v>37159.16</v>
      </c>
    </row>
    <row r="105" spans="1:14" s="1" customFormat="1" ht="18" customHeight="1">
      <c r="A105" s="3">
        <v>157</v>
      </c>
      <c r="B105" s="5" t="s">
        <v>183</v>
      </c>
      <c r="C105" s="5" t="s">
        <v>184</v>
      </c>
      <c r="D105" s="61">
        <v>9959.92</v>
      </c>
      <c r="E105" s="62">
        <v>6866.46</v>
      </c>
      <c r="F105" s="61">
        <v>13555</v>
      </c>
      <c r="G105" s="62">
        <v>9646.64</v>
      </c>
      <c r="H105" s="61">
        <v>173610</v>
      </c>
      <c r="I105" s="62">
        <v>120886.64</v>
      </c>
      <c r="J105" s="67">
        <f t="shared" si="28"/>
        <v>197124.91999999998</v>
      </c>
      <c r="K105" s="68">
        <f t="shared" si="29"/>
        <v>137399.74</v>
      </c>
      <c r="L105" s="116">
        <v>137980</v>
      </c>
      <c r="M105" s="93">
        <f t="shared" si="30"/>
        <v>-59144.919999999984</v>
      </c>
      <c r="N105" s="100">
        <f t="shared" si="31"/>
        <v>580.2600000000093</v>
      </c>
    </row>
    <row r="106" spans="1:14" s="1" customFormat="1" ht="29.25" customHeight="1">
      <c r="A106" s="3">
        <v>159</v>
      </c>
      <c r="B106" s="5" t="s">
        <v>185</v>
      </c>
      <c r="C106" s="5" t="s">
        <v>186</v>
      </c>
      <c r="D106" s="61">
        <v>63830.29</v>
      </c>
      <c r="E106" s="62">
        <v>46747.22</v>
      </c>
      <c r="F106" s="61">
        <v>0</v>
      </c>
      <c r="G106" s="62">
        <v>0</v>
      </c>
      <c r="H106" s="61">
        <v>157690</v>
      </c>
      <c r="I106" s="62">
        <v>143907.25</v>
      </c>
      <c r="J106" s="67">
        <f t="shared" si="28"/>
        <v>221520.29</v>
      </c>
      <c r="K106" s="68">
        <f t="shared" si="29"/>
        <v>190654.47</v>
      </c>
      <c r="L106" s="116">
        <v>399530</v>
      </c>
      <c r="M106" s="93">
        <f t="shared" si="30"/>
        <v>178009.71</v>
      </c>
      <c r="N106" s="100">
        <f t="shared" si="31"/>
        <v>208875.53</v>
      </c>
    </row>
    <row r="107" spans="1:14" s="1" customFormat="1" ht="18" customHeight="1" thickBot="1">
      <c r="A107" s="3">
        <v>161</v>
      </c>
      <c r="B107" s="5"/>
      <c r="C107" s="5"/>
      <c r="D107" s="61"/>
      <c r="E107" s="62"/>
      <c r="F107" s="61"/>
      <c r="G107" s="62"/>
      <c r="H107" s="61"/>
      <c r="I107" s="62"/>
      <c r="J107" s="67"/>
      <c r="K107" s="68"/>
      <c r="L107" s="116"/>
      <c r="M107" s="93"/>
      <c r="N107" s="100"/>
    </row>
    <row r="108" spans="1:14" s="1" customFormat="1" ht="18" customHeight="1" thickBot="1">
      <c r="A108" s="3">
        <v>162</v>
      </c>
      <c r="B108" s="71"/>
      <c r="C108" s="71" t="s">
        <v>187</v>
      </c>
      <c r="D108" s="72"/>
      <c r="E108" s="73"/>
      <c r="F108" s="72"/>
      <c r="G108" s="73"/>
      <c r="H108" s="72"/>
      <c r="I108" s="73"/>
      <c r="J108" s="74"/>
      <c r="K108" s="75"/>
      <c r="L108" s="91"/>
      <c r="M108" s="91"/>
      <c r="N108" s="75"/>
    </row>
    <row r="109" spans="1:14" s="1" customFormat="1" ht="18" customHeight="1" thickBot="1">
      <c r="A109" s="3">
        <v>163</v>
      </c>
      <c r="B109" s="71"/>
      <c r="C109" s="71" t="s">
        <v>188</v>
      </c>
      <c r="D109" s="72"/>
      <c r="E109" s="73"/>
      <c r="F109" s="72"/>
      <c r="G109" s="73"/>
      <c r="H109" s="72"/>
      <c r="I109" s="73"/>
      <c r="J109" s="74"/>
      <c r="K109" s="75"/>
      <c r="L109" s="91"/>
      <c r="M109" s="91"/>
      <c r="N109" s="75"/>
    </row>
    <row r="110" spans="1:14" s="1" customFormat="1" ht="18" customHeight="1">
      <c r="A110" s="3">
        <v>164</v>
      </c>
      <c r="B110" s="5" t="s">
        <v>189</v>
      </c>
      <c r="C110" s="5" t="s">
        <v>190</v>
      </c>
      <c r="D110" s="61">
        <v>252289.1</v>
      </c>
      <c r="E110" s="62">
        <v>252289.1</v>
      </c>
      <c r="F110" s="61">
        <v>1463947.11</v>
      </c>
      <c r="G110" s="62">
        <v>1463947.11</v>
      </c>
      <c r="H110" s="61">
        <v>3705253.21</v>
      </c>
      <c r="I110" s="62">
        <v>3705253.21</v>
      </c>
      <c r="J110" s="86">
        <f>+D110+F110+H110</f>
        <v>5421489.42</v>
      </c>
      <c r="K110" s="87">
        <f>+E110+G110+I110</f>
        <v>5421489.42</v>
      </c>
      <c r="L110" s="117">
        <v>7223553.3</v>
      </c>
      <c r="M110" s="96"/>
      <c r="N110" s="101"/>
    </row>
    <row r="111" spans="1:14" s="1" customFormat="1" ht="18" customHeight="1" thickBot="1">
      <c r="A111" s="3">
        <v>166</v>
      </c>
      <c r="B111" s="5" t="s">
        <v>191</v>
      </c>
      <c r="C111" s="5" t="s">
        <v>192</v>
      </c>
      <c r="D111" s="61">
        <v>233556.89</v>
      </c>
      <c r="E111" s="62">
        <v>233556.89</v>
      </c>
      <c r="F111" s="61">
        <v>289149.55</v>
      </c>
      <c r="G111" s="62">
        <v>289149.55</v>
      </c>
      <c r="H111" s="61">
        <v>1329678.43</v>
      </c>
      <c r="I111" s="62">
        <v>1329678.43</v>
      </c>
      <c r="J111" s="86">
        <f>+D111+F111+H111</f>
        <v>1852384.8699999999</v>
      </c>
      <c r="K111" s="87">
        <f>+E111+G111+I111</f>
        <v>1852384.8699999999</v>
      </c>
      <c r="L111" s="117">
        <v>1611592</v>
      </c>
      <c r="M111" s="96"/>
      <c r="N111" s="101"/>
    </row>
    <row r="112" spans="1:14" s="1" customFormat="1" ht="18" customHeight="1" thickBot="1">
      <c r="A112" s="3">
        <v>167</v>
      </c>
      <c r="B112" s="71"/>
      <c r="C112" s="71" t="s">
        <v>193</v>
      </c>
      <c r="D112" s="72"/>
      <c r="E112" s="73"/>
      <c r="F112" s="72"/>
      <c r="G112" s="73"/>
      <c r="H112" s="72"/>
      <c r="I112" s="73"/>
      <c r="J112" s="88"/>
      <c r="K112" s="89"/>
      <c r="L112" s="97"/>
      <c r="M112" s="97"/>
      <c r="N112" s="89"/>
    </row>
    <row r="113" spans="1:34" s="1" customFormat="1" ht="18" customHeight="1">
      <c r="A113" s="3">
        <v>168</v>
      </c>
      <c r="B113" s="5" t="s">
        <v>194</v>
      </c>
      <c r="C113" s="5" t="s">
        <v>190</v>
      </c>
      <c r="D113" s="61">
        <v>208576.1</v>
      </c>
      <c r="E113" s="62">
        <v>208575.9</v>
      </c>
      <c r="F113" s="61">
        <v>1946447.11</v>
      </c>
      <c r="G113" s="62">
        <v>1946788.87</v>
      </c>
      <c r="H113" s="61">
        <v>5053753.21</v>
      </c>
      <c r="I113" s="62">
        <f>I110+I37</f>
        <v>5068188.53</v>
      </c>
      <c r="J113" s="90">
        <f>+D113+F113+H113</f>
        <v>7208776.42</v>
      </c>
      <c r="K113" s="110">
        <f>+E113+G113+I113</f>
        <v>7223553.300000001</v>
      </c>
      <c r="L113" s="98"/>
      <c r="M113" s="98"/>
      <c r="N113" s="102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s="1" customFormat="1" ht="18" customHeight="1" thickBot="1">
      <c r="A114" s="3">
        <v>170</v>
      </c>
      <c r="B114" s="5" t="s">
        <v>195</v>
      </c>
      <c r="C114" s="5" t="s">
        <v>192</v>
      </c>
      <c r="D114" s="63">
        <v>90550.05</v>
      </c>
      <c r="E114" s="64">
        <v>209331.35</v>
      </c>
      <c r="F114" s="63">
        <v>0</v>
      </c>
      <c r="G114" s="64">
        <v>79565.59</v>
      </c>
      <c r="H114" s="63">
        <v>31528.43</v>
      </c>
      <c r="I114" s="64">
        <v>1322695.06</v>
      </c>
      <c r="J114" s="69">
        <f>+D114+F114+H114</f>
        <v>122078.48000000001</v>
      </c>
      <c r="K114" s="111">
        <f>+E114+G114+I114</f>
        <v>1611592</v>
      </c>
      <c r="L114" s="99"/>
      <c r="M114" s="99"/>
      <c r="N114" s="10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14" s="1" customFormat="1" ht="18" customHeight="1">
      <c r="A115" s="7"/>
      <c r="B115" s="7"/>
      <c r="C115" s="7"/>
      <c r="D115" s="54"/>
      <c r="E115" s="54"/>
      <c r="F115" s="54"/>
      <c r="G115" s="54"/>
      <c r="H115" s="54"/>
      <c r="I115" s="54"/>
      <c r="J115" s="7"/>
      <c r="K115" s="7"/>
      <c r="L115" s="7"/>
      <c r="M115" s="7"/>
      <c r="N115" s="7"/>
    </row>
    <row r="116" spans="1:43" s="1" customFormat="1" ht="18" customHeight="1">
      <c r="A116" s="7"/>
      <c r="B116" s="7"/>
      <c r="C116" s="7"/>
      <c r="D116" s="54"/>
      <c r="E116" s="54"/>
      <c r="F116" s="54"/>
      <c r="G116" s="54"/>
      <c r="H116" s="54"/>
      <c r="I116" s="54"/>
      <c r="J116" s="8"/>
      <c r="K116" s="8"/>
      <c r="L116" s="8"/>
      <c r="M116" s="8"/>
      <c r="N116" s="8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3:9" ht="18" customHeight="1" hidden="1">
      <c r="C117" s="7"/>
      <c r="D117" s="54"/>
      <c r="E117" s="54"/>
      <c r="F117" s="54"/>
      <c r="G117" s="54"/>
      <c r="H117" s="54"/>
      <c r="I117" s="54"/>
    </row>
    <row r="118" spans="3:14" ht="27.75" customHeight="1" hidden="1">
      <c r="C118" s="47"/>
      <c r="J118" s="44"/>
      <c r="K118" s="44"/>
      <c r="L118" s="44"/>
      <c r="M118" s="44"/>
      <c r="N118" s="44"/>
    </row>
    <row r="119" spans="3:14" ht="12.75" customHeight="1" hidden="1">
      <c r="C119" s="48"/>
      <c r="J119" s="46"/>
      <c r="K119" s="46"/>
      <c r="L119" s="46"/>
      <c r="M119" s="46"/>
      <c r="N119" s="46"/>
    </row>
    <row r="120" ht="12.75" customHeight="1" hidden="1">
      <c r="C120" s="48"/>
    </row>
    <row r="121" ht="12.75" customHeight="1" hidden="1"/>
    <row r="122" spans="3:43" s="49" customFormat="1" ht="17.25" customHeight="1">
      <c r="C122" s="47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4"/>
      <c r="P122" s="45"/>
      <c r="Q122" s="45"/>
      <c r="R122" s="44"/>
      <c r="S122" s="45"/>
      <c r="T122" s="45"/>
      <c r="U122" s="44"/>
      <c r="V122" s="45"/>
      <c r="W122" s="45"/>
      <c r="X122" s="44"/>
      <c r="Y122" s="45"/>
      <c r="Z122" s="45"/>
      <c r="AA122" s="44"/>
      <c r="AB122" s="45"/>
      <c r="AC122" s="45"/>
      <c r="AD122" s="44"/>
      <c r="AE122" s="45"/>
      <c r="AF122" s="45"/>
      <c r="AG122" s="44"/>
      <c r="AH122" s="45"/>
      <c r="AI122" s="45"/>
      <c r="AJ122" s="44"/>
      <c r="AK122" s="45"/>
      <c r="AL122" s="45"/>
      <c r="AM122" s="44"/>
      <c r="AN122" s="45"/>
      <c r="AO122" s="45"/>
      <c r="AP122" s="44"/>
      <c r="AQ122" s="45"/>
    </row>
    <row r="123" s="50" customFormat="1" ht="12.75">
      <c r="C123" s="55"/>
    </row>
    <row r="124" spans="3:43" s="49" customFormat="1" ht="21" customHeight="1">
      <c r="C124" s="56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P124" s="51"/>
      <c r="Q124" s="51"/>
      <c r="S124" s="51"/>
      <c r="T124" s="51"/>
      <c r="V124" s="51"/>
      <c r="W124" s="51"/>
      <c r="Y124" s="51"/>
      <c r="Z124" s="51"/>
      <c r="AB124" s="51"/>
      <c r="AC124" s="51"/>
      <c r="AE124" s="51"/>
      <c r="AF124" s="51"/>
      <c r="AH124" s="51"/>
      <c r="AI124" s="51"/>
      <c r="AK124" s="51"/>
      <c r="AL124" s="51"/>
      <c r="AN124" s="51"/>
      <c r="AO124" s="51"/>
      <c r="AQ124" s="51"/>
    </row>
    <row r="125" spans="3:43" s="49" customFormat="1" ht="12.75">
      <c r="C125" s="57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P125" s="51"/>
      <c r="Q125" s="51"/>
      <c r="S125" s="51"/>
      <c r="T125" s="51"/>
      <c r="V125" s="51"/>
      <c r="W125" s="51"/>
      <c r="Y125" s="51"/>
      <c r="Z125" s="51"/>
      <c r="AB125" s="51"/>
      <c r="AC125" s="51"/>
      <c r="AE125" s="51"/>
      <c r="AF125" s="51"/>
      <c r="AH125" s="51"/>
      <c r="AI125" s="51"/>
      <c r="AK125" s="51"/>
      <c r="AL125" s="51"/>
      <c r="AN125" s="51"/>
      <c r="AO125" s="51"/>
      <c r="AQ125" s="51"/>
    </row>
    <row r="126" spans="3:43" s="49" customFormat="1" ht="12.75">
      <c r="C126" s="47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P126" s="45"/>
      <c r="Q126" s="45"/>
      <c r="S126" s="45"/>
      <c r="T126" s="45"/>
      <c r="V126" s="45"/>
      <c r="W126" s="45"/>
      <c r="Y126" s="45"/>
      <c r="Z126" s="45"/>
      <c r="AB126" s="45"/>
      <c r="AC126" s="45"/>
      <c r="AE126" s="45"/>
      <c r="AF126" s="45"/>
      <c r="AH126" s="45"/>
      <c r="AI126" s="45"/>
      <c r="AK126" s="45"/>
      <c r="AL126" s="45"/>
      <c r="AN126" s="45"/>
      <c r="AO126" s="45"/>
      <c r="AQ126" s="45"/>
    </row>
    <row r="127" spans="3:43" s="50" customFormat="1" ht="12.75">
      <c r="C127" s="58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P127" s="52"/>
      <c r="Q127" s="52"/>
      <c r="S127" s="52"/>
      <c r="T127" s="52"/>
      <c r="V127" s="52"/>
      <c r="W127" s="52"/>
      <c r="Y127" s="52"/>
      <c r="Z127" s="52"/>
      <c r="AB127" s="52"/>
      <c r="AC127" s="52"/>
      <c r="AE127" s="52"/>
      <c r="AF127" s="52"/>
      <c r="AH127" s="52"/>
      <c r="AI127" s="52"/>
      <c r="AK127" s="52"/>
      <c r="AL127" s="52"/>
      <c r="AN127" s="52"/>
      <c r="AO127" s="52"/>
      <c r="AQ127" s="52"/>
    </row>
    <row r="128" spans="4:9" ht="12.75">
      <c r="D128"/>
      <c r="E128"/>
      <c r="F128"/>
      <c r="G128"/>
      <c r="H128"/>
      <c r="I128"/>
    </row>
    <row r="129" spans="3:9" ht="12.75">
      <c r="C129" s="53"/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</sheetData>
  <sheetProtection/>
  <mergeCells count="5">
    <mergeCell ref="L1:N1"/>
    <mergeCell ref="D1:E1"/>
    <mergeCell ref="J1:K1"/>
    <mergeCell ref="F1:G1"/>
    <mergeCell ref="H1:I1"/>
  </mergeCells>
  <printOptions/>
  <pageMargins left="0.7086614173228347" right="0.7086614173228347" top="0.7480314960629921" bottom="1.141732283464567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BX266"/>
  <sheetViews>
    <sheetView zoomScale="90" zoomScaleNormal="90" zoomScalePageLayoutView="0" workbookViewId="0" topLeftCell="A1">
      <pane xSplit="2" ySplit="1" topLeftCell="C2" activePane="bottomRight" state="frozen"/>
      <selection pane="topLeft" activeCell="AN46" sqref="AN46"/>
      <selection pane="topRight" activeCell="AN46" sqref="AN46"/>
      <selection pane="bottomLeft" activeCell="AN46" sqref="AN46"/>
      <selection pane="bottomRight" activeCell="BX3" sqref="BX3"/>
    </sheetView>
  </sheetViews>
  <sheetFormatPr defaultColWidth="9.140625" defaultRowHeight="12.75" outlineLevelCol="1"/>
  <cols>
    <col min="1" max="1" width="48.421875" style="10" customWidth="1"/>
    <col min="2" max="2" width="40.8515625" style="10" customWidth="1"/>
    <col min="3" max="3" width="12.7109375" style="10" customWidth="1" outlineLevel="1"/>
    <col min="4" max="5" width="12.00390625" style="10" customWidth="1" outlineLevel="1"/>
    <col min="6" max="6" width="12.7109375" style="10" bestFit="1" customWidth="1"/>
    <col min="7" max="7" width="13.421875" style="10" customWidth="1" outlineLevel="1"/>
    <col min="8" max="9" width="12.00390625" style="10" customWidth="1" outlineLevel="1"/>
    <col min="10" max="10" width="12.00390625" style="10" bestFit="1" customWidth="1"/>
    <col min="11" max="12" width="12.00390625" style="10" customWidth="1" outlineLevel="1"/>
    <col min="13" max="13" width="12.7109375" style="10" customWidth="1" outlineLevel="1"/>
    <col min="14" max="14" width="12.00390625" style="10" bestFit="1" customWidth="1"/>
    <col min="15" max="17" width="12.00390625" style="10" customWidth="1" outlineLevel="1"/>
    <col min="18" max="18" width="12.00390625" style="10" bestFit="1" customWidth="1"/>
    <col min="19" max="21" width="12.00390625" style="10" customWidth="1" outlineLevel="1"/>
    <col min="22" max="22" width="12.00390625" style="10" bestFit="1" customWidth="1"/>
    <col min="23" max="25" width="12.00390625" style="10" customWidth="1" outlineLevel="1"/>
    <col min="26" max="26" width="12.00390625" style="10" bestFit="1" customWidth="1"/>
    <col min="27" max="29" width="12.00390625" style="10" customWidth="1" outlineLevel="1"/>
    <col min="30" max="30" width="12.00390625" style="10" bestFit="1" customWidth="1"/>
    <col min="31" max="33" width="12.00390625" style="10" customWidth="1" outlineLevel="1"/>
    <col min="34" max="34" width="13.28125" style="10" customWidth="1"/>
    <col min="35" max="35" width="12.00390625" style="10" customWidth="1" outlineLevel="1"/>
    <col min="36" max="36" width="12.7109375" style="10" bestFit="1" customWidth="1" outlineLevel="1"/>
    <col min="37" max="37" width="12.00390625" style="10" customWidth="1" outlineLevel="1"/>
    <col min="38" max="38" width="12.00390625" style="10" customWidth="1"/>
    <col min="39" max="40" width="12.00390625" style="10" customWidth="1" outlineLevel="1"/>
    <col min="41" max="41" width="13.00390625" style="10" customWidth="1" outlineLevel="1"/>
    <col min="42" max="42" width="12.7109375" style="10" bestFit="1" customWidth="1"/>
    <col min="43" max="50" width="12.7109375" style="10" customWidth="1"/>
    <col min="51" max="51" width="12.00390625" style="10" bestFit="1" customWidth="1"/>
    <col min="52" max="55" width="11.00390625" style="10" customWidth="1"/>
    <col min="56" max="56" width="19.28125" style="10" customWidth="1"/>
    <col min="57" max="60" width="12.00390625" style="10" bestFit="1" customWidth="1"/>
    <col min="61" max="61" width="13.57421875" style="10" bestFit="1" customWidth="1"/>
    <col min="62" max="62" width="11.00390625" style="10" bestFit="1" customWidth="1"/>
    <col min="63" max="63" width="15.8515625" style="10" bestFit="1" customWidth="1"/>
    <col min="64" max="64" width="13.57421875" style="10" bestFit="1" customWidth="1"/>
    <col min="65" max="66" width="13.421875" style="10" customWidth="1"/>
    <col min="67" max="67" width="11.57421875" style="10" bestFit="1" customWidth="1"/>
    <col min="68" max="69" width="12.7109375" style="10" bestFit="1" customWidth="1"/>
    <col min="70" max="70" width="11.57421875" style="10" bestFit="1" customWidth="1"/>
    <col min="71" max="71" width="14.28125" style="10" bestFit="1" customWidth="1"/>
    <col min="72" max="72" width="16.421875" style="10" bestFit="1" customWidth="1"/>
    <col min="73" max="74" width="13.8515625" style="10" customWidth="1"/>
    <col min="75" max="75" width="13.57421875" style="10" bestFit="1" customWidth="1"/>
    <col min="76" max="76" width="12.7109375" style="10" bestFit="1" customWidth="1"/>
    <col min="77" max="16384" width="9.140625" style="10" customWidth="1"/>
  </cols>
  <sheetData>
    <row r="1" spans="1:54" ht="12.75">
      <c r="A1" s="129" t="s">
        <v>264</v>
      </c>
      <c r="B1" s="129" t="s">
        <v>265</v>
      </c>
      <c r="C1" s="126">
        <v>2004</v>
      </c>
      <c r="D1" s="127"/>
      <c r="E1" s="127"/>
      <c r="F1" s="128"/>
      <c r="G1" s="126">
        <v>2005</v>
      </c>
      <c r="H1" s="127"/>
      <c r="I1" s="127"/>
      <c r="J1" s="128"/>
      <c r="K1" s="126">
        <v>2006</v>
      </c>
      <c r="L1" s="127"/>
      <c r="M1" s="127"/>
      <c r="N1" s="128"/>
      <c r="O1" s="126">
        <v>2007</v>
      </c>
      <c r="P1" s="127"/>
      <c r="Q1" s="127"/>
      <c r="R1" s="128"/>
      <c r="S1" s="126">
        <v>2008</v>
      </c>
      <c r="T1" s="127"/>
      <c r="U1" s="127"/>
      <c r="V1" s="128"/>
      <c r="W1" s="126">
        <v>2009</v>
      </c>
      <c r="X1" s="127"/>
      <c r="Y1" s="127"/>
      <c r="Z1" s="128"/>
      <c r="AA1" s="126">
        <v>2010</v>
      </c>
      <c r="AB1" s="127"/>
      <c r="AC1" s="127"/>
      <c r="AD1" s="128"/>
      <c r="AE1" s="126">
        <v>2011</v>
      </c>
      <c r="AF1" s="127"/>
      <c r="AG1" s="127"/>
      <c r="AH1" s="128"/>
      <c r="AI1" s="126">
        <v>2012</v>
      </c>
      <c r="AJ1" s="127"/>
      <c r="AK1" s="127"/>
      <c r="AL1" s="128"/>
      <c r="AM1" s="126">
        <v>2013</v>
      </c>
      <c r="AN1" s="127"/>
      <c r="AO1" s="127"/>
      <c r="AP1" s="128"/>
      <c r="AQ1" s="126">
        <v>2014</v>
      </c>
      <c r="AR1" s="127"/>
      <c r="AS1" s="127"/>
      <c r="AT1" s="128"/>
      <c r="AU1" s="126">
        <v>2015</v>
      </c>
      <c r="AV1" s="127"/>
      <c r="AW1" s="127"/>
      <c r="AX1" s="128"/>
      <c r="AY1" s="126">
        <v>2016</v>
      </c>
      <c r="AZ1" s="127"/>
      <c r="BA1" s="127"/>
      <c r="BB1" s="128"/>
    </row>
    <row r="2" spans="1:76" ht="25.5">
      <c r="A2" s="130"/>
      <c r="B2" s="130"/>
      <c r="C2" s="9" t="s">
        <v>266</v>
      </c>
      <c r="D2" s="9" t="s">
        <v>267</v>
      </c>
      <c r="E2" s="9" t="s">
        <v>268</v>
      </c>
      <c r="F2" s="9" t="s">
        <v>269</v>
      </c>
      <c r="G2" s="9" t="s">
        <v>266</v>
      </c>
      <c r="H2" s="9" t="s">
        <v>267</v>
      </c>
      <c r="I2" s="9" t="s">
        <v>268</v>
      </c>
      <c r="J2" s="9" t="s">
        <v>269</v>
      </c>
      <c r="K2" s="9" t="s">
        <v>266</v>
      </c>
      <c r="L2" s="9" t="s">
        <v>267</v>
      </c>
      <c r="M2" s="9" t="s">
        <v>268</v>
      </c>
      <c r="N2" s="9" t="s">
        <v>269</v>
      </c>
      <c r="O2" s="9" t="s">
        <v>266</v>
      </c>
      <c r="P2" s="9" t="s">
        <v>267</v>
      </c>
      <c r="Q2" s="9" t="s">
        <v>268</v>
      </c>
      <c r="R2" s="9" t="s">
        <v>269</v>
      </c>
      <c r="S2" s="9" t="s">
        <v>266</v>
      </c>
      <c r="T2" s="9" t="s">
        <v>267</v>
      </c>
      <c r="U2" s="9" t="s">
        <v>268</v>
      </c>
      <c r="V2" s="9" t="s">
        <v>269</v>
      </c>
      <c r="W2" s="9" t="s">
        <v>266</v>
      </c>
      <c r="X2" s="9" t="s">
        <v>267</v>
      </c>
      <c r="Y2" s="9" t="s">
        <v>268</v>
      </c>
      <c r="Z2" s="9" t="s">
        <v>269</v>
      </c>
      <c r="AA2" s="9" t="s">
        <v>266</v>
      </c>
      <c r="AB2" s="9" t="s">
        <v>267</v>
      </c>
      <c r="AC2" s="9" t="s">
        <v>268</v>
      </c>
      <c r="AD2" s="9" t="s">
        <v>269</v>
      </c>
      <c r="AE2" s="9" t="s">
        <v>266</v>
      </c>
      <c r="AF2" s="9" t="s">
        <v>267</v>
      </c>
      <c r="AG2" s="9" t="s">
        <v>268</v>
      </c>
      <c r="AH2" s="9" t="s">
        <v>269</v>
      </c>
      <c r="AI2" s="9" t="s">
        <v>266</v>
      </c>
      <c r="AJ2" s="9" t="s">
        <v>267</v>
      </c>
      <c r="AK2" s="9" t="s">
        <v>268</v>
      </c>
      <c r="AL2" s="9" t="s">
        <v>269</v>
      </c>
      <c r="AM2" s="9" t="s">
        <v>266</v>
      </c>
      <c r="AN2" s="9" t="s">
        <v>267</v>
      </c>
      <c r="AO2" s="9" t="s">
        <v>268</v>
      </c>
      <c r="AP2" s="9" t="s">
        <v>269</v>
      </c>
      <c r="AQ2" s="9" t="s">
        <v>266</v>
      </c>
      <c r="AR2" s="9" t="s">
        <v>267</v>
      </c>
      <c r="AS2" s="9" t="s">
        <v>268</v>
      </c>
      <c r="AT2" s="9" t="s">
        <v>269</v>
      </c>
      <c r="AU2" s="9" t="s">
        <v>266</v>
      </c>
      <c r="AV2" s="9" t="s">
        <v>267</v>
      </c>
      <c r="AW2" s="9" t="s">
        <v>268</v>
      </c>
      <c r="AX2" s="9" t="s">
        <v>269</v>
      </c>
      <c r="AY2" s="9" t="s">
        <v>266</v>
      </c>
      <c r="AZ2" s="9" t="s">
        <v>267</v>
      </c>
      <c r="BA2" s="9" t="s">
        <v>268</v>
      </c>
      <c r="BB2" s="9" t="s">
        <v>269</v>
      </c>
      <c r="BD2" s="33" t="s">
        <v>270</v>
      </c>
      <c r="BE2" s="34" t="s">
        <v>266</v>
      </c>
      <c r="BF2" s="34" t="s">
        <v>267</v>
      </c>
      <c r="BG2" s="34" t="s">
        <v>268</v>
      </c>
      <c r="BH2" s="34" t="s">
        <v>269</v>
      </c>
      <c r="BI2" s="34" t="s">
        <v>196</v>
      </c>
      <c r="BK2" s="35" t="s">
        <v>271</v>
      </c>
      <c r="BL2" s="34">
        <v>2004</v>
      </c>
      <c r="BM2" s="34">
        <v>2005</v>
      </c>
      <c r="BN2" s="34">
        <v>2006</v>
      </c>
      <c r="BO2" s="34">
        <v>2007</v>
      </c>
      <c r="BP2" s="34">
        <v>2008</v>
      </c>
      <c r="BQ2" s="34">
        <v>2009</v>
      </c>
      <c r="BR2" s="34">
        <v>2010</v>
      </c>
      <c r="BS2" s="34">
        <v>2011</v>
      </c>
      <c r="BT2" s="34">
        <v>2012</v>
      </c>
      <c r="BU2" s="34">
        <v>2013</v>
      </c>
      <c r="BV2" s="34">
        <v>2014</v>
      </c>
      <c r="BW2" s="34">
        <v>2015</v>
      </c>
      <c r="BX2" s="34">
        <v>2016</v>
      </c>
    </row>
    <row r="3" spans="1:76" ht="12.75">
      <c r="A3" s="11" t="s">
        <v>200</v>
      </c>
      <c r="B3" s="11" t="s">
        <v>201</v>
      </c>
      <c r="C3" s="12">
        <f aca="true" t="shared" si="0" ref="C3:AN3">C4+C8+C9+C13</f>
        <v>171277889.26987332</v>
      </c>
      <c r="D3" s="12">
        <f t="shared" si="0"/>
        <v>206007446.51681516</v>
      </c>
      <c r="E3" s="12">
        <f t="shared" si="0"/>
        <v>168064251.9965999</v>
      </c>
      <c r="F3" s="12">
        <f t="shared" si="0"/>
        <v>197300943.84594738</v>
      </c>
      <c r="G3" s="12">
        <f t="shared" si="0"/>
        <v>200788722.50712615</v>
      </c>
      <c r="H3" s="12">
        <f t="shared" si="0"/>
        <v>203030594.3656259</v>
      </c>
      <c r="I3" s="12">
        <f t="shared" si="0"/>
        <v>227439929.4267635</v>
      </c>
      <c r="J3" s="12">
        <f t="shared" si="0"/>
        <v>218601328.55316818</v>
      </c>
      <c r="K3" s="12">
        <f t="shared" si="0"/>
        <v>233121665.20081043</v>
      </c>
      <c r="L3" s="12">
        <f t="shared" si="0"/>
        <v>267268681.19521168</v>
      </c>
      <c r="M3" s="12">
        <f t="shared" si="0"/>
        <v>230333115.52062443</v>
      </c>
      <c r="N3" s="12">
        <f t="shared" si="0"/>
        <v>245608195.38979697</v>
      </c>
      <c r="O3" s="12">
        <f t="shared" si="0"/>
        <v>272936138.0095356</v>
      </c>
      <c r="P3" s="12">
        <f t="shared" si="0"/>
        <v>321336109.35027415</v>
      </c>
      <c r="Q3" s="12">
        <f t="shared" si="0"/>
        <v>277866452.9098973</v>
      </c>
      <c r="R3" s="12">
        <f t="shared" si="0"/>
        <v>286737044.1942661</v>
      </c>
      <c r="S3" s="12">
        <f t="shared" si="0"/>
        <v>325170393.0176524</v>
      </c>
      <c r="T3" s="12">
        <f t="shared" si="0"/>
        <v>370657484.00547093</v>
      </c>
      <c r="U3" s="12">
        <f t="shared" si="0"/>
        <v>323843353.92008466</v>
      </c>
      <c r="V3" s="12">
        <f t="shared" si="0"/>
        <v>318205292.63315976</v>
      </c>
      <c r="W3" s="12">
        <f t="shared" si="0"/>
        <v>303253697.0249128</v>
      </c>
      <c r="X3" s="12">
        <f t="shared" si="0"/>
        <v>327879785.5823904</v>
      </c>
      <c r="Y3" s="12">
        <f t="shared" si="0"/>
        <v>280104513.9932363</v>
      </c>
      <c r="Z3" s="12">
        <f t="shared" si="0"/>
        <v>277730148.9251978</v>
      </c>
      <c r="AA3" s="12">
        <f t="shared" si="0"/>
        <v>274955153.1554459</v>
      </c>
      <c r="AB3" s="12">
        <f t="shared" si="0"/>
        <v>320459020.6292742</v>
      </c>
      <c r="AC3" s="12">
        <f t="shared" si="0"/>
        <v>262034398.87579414</v>
      </c>
      <c r="AD3" s="12">
        <f t="shared" si="0"/>
        <v>301703784.3493154</v>
      </c>
      <c r="AE3" s="12">
        <f t="shared" si="0"/>
        <v>287564151.971</v>
      </c>
      <c r="AF3" s="12">
        <f t="shared" si="0"/>
        <v>337802738.929</v>
      </c>
      <c r="AG3" s="12">
        <f t="shared" si="0"/>
        <v>276550087.1700001</v>
      </c>
      <c r="AH3" s="12">
        <f t="shared" si="0"/>
        <v>310003411.42599994</v>
      </c>
      <c r="AI3" s="12">
        <f t="shared" si="0"/>
        <v>313673765.26</v>
      </c>
      <c r="AJ3" s="12">
        <f t="shared" si="0"/>
        <v>349490747.5199999</v>
      </c>
      <c r="AK3" s="12">
        <f t="shared" si="0"/>
        <v>286596598.20000005</v>
      </c>
      <c r="AL3" s="12">
        <f t="shared" si="0"/>
        <v>313211239.3100001</v>
      </c>
      <c r="AM3" s="12">
        <f t="shared" si="0"/>
        <v>338590098.15</v>
      </c>
      <c r="AN3" s="12">
        <f t="shared" si="0"/>
        <v>371277983.66999996</v>
      </c>
      <c r="AO3" s="12">
        <f aca="true" t="shared" si="1" ref="AO3:AT3">AO4+AO8+AO9+AO13</f>
        <v>287534388.06000006</v>
      </c>
      <c r="AP3" s="12">
        <f t="shared" si="1"/>
        <v>334900272.16</v>
      </c>
      <c r="AQ3" s="12">
        <f t="shared" si="1"/>
        <v>373336666.26000005</v>
      </c>
      <c r="AR3" s="12">
        <f t="shared" si="1"/>
        <v>376077415.22999996</v>
      </c>
      <c r="AS3" s="12">
        <f t="shared" si="1"/>
        <v>304839164.9199999</v>
      </c>
      <c r="AT3" s="12">
        <f t="shared" si="1"/>
        <v>351966143.17</v>
      </c>
      <c r="AU3" s="12">
        <f>AU4+AU8+AU9+AU13</f>
        <v>406037015.56</v>
      </c>
      <c r="AV3" s="12">
        <f>AV4+AV8+AV9+AV13</f>
        <v>398733361.12999994</v>
      </c>
      <c r="AW3" s="12">
        <f>AW4+AW8+AW9+AW13</f>
        <v>333386212.44000006</v>
      </c>
      <c r="AX3" s="12" t="e">
        <f>AX4+AX8+AX9+AX13</f>
        <v>#REF!</v>
      </c>
      <c r="AY3" s="12" t="e">
        <f>AY4+AY8+AY9+AY13</f>
        <v>#REF!</v>
      </c>
      <c r="AZ3" s="12"/>
      <c r="BA3" s="12"/>
      <c r="BB3" s="12"/>
      <c r="BD3" s="13">
        <v>2004</v>
      </c>
      <c r="BE3" s="14">
        <f>C3</f>
        <v>171277889.26987332</v>
      </c>
      <c r="BF3" s="14">
        <f>D3</f>
        <v>206007446.51681516</v>
      </c>
      <c r="BG3" s="14">
        <f>E3</f>
        <v>168064251.9965999</v>
      </c>
      <c r="BH3" s="14">
        <f>F3</f>
        <v>197300943.84594738</v>
      </c>
      <c r="BI3" s="14">
        <f aca="true" t="shared" si="2" ref="BI3:BI10">SUM(BE3:BH3)</f>
        <v>742650531.6292357</v>
      </c>
      <c r="BK3" s="13" t="s">
        <v>272</v>
      </c>
      <c r="BL3" s="14">
        <f>'[18]Ülevaade Overview'!D28</f>
        <v>-39075201.200260594</v>
      </c>
      <c r="BM3" s="14">
        <f>'[18]Ülevaade Overview'!G28</f>
        <v>-54189210.2622934</v>
      </c>
      <c r="BN3" s="14">
        <f>'[18]Ülevaade Overview'!J28</f>
        <v>-68368471.60661106</v>
      </c>
      <c r="BO3" s="14">
        <f>'[18]Ülevaade Overview'!M28</f>
        <v>-80479164.18582964</v>
      </c>
      <c r="BP3" s="14">
        <f>'[18]Ülevaade Overview'!P28</f>
        <v>-126903170.56740767</v>
      </c>
      <c r="BQ3" s="14">
        <f>'[18]Ülevaade Overview'!S28</f>
        <v>-111619761.51751769</v>
      </c>
      <c r="BR3" s="14">
        <f>'[18]Ülevaade Overview'!V28</f>
        <v>-42590346.96867065</v>
      </c>
      <c r="BS3" s="14">
        <f>'[18]Ülevaade Overview'!Y28</f>
        <v>-45008213.91299996</v>
      </c>
      <c r="BT3" s="14">
        <f>'[18]Ülevaade Overview'!AB28</f>
        <v>-81112808.31426233</v>
      </c>
      <c r="BU3" s="14">
        <f>'[18]Ülevaade Overview'!AE28</f>
        <v>-126647492.43999982</v>
      </c>
      <c r="BV3" s="14" t="e">
        <f>#REF!</f>
        <v>#REF!</v>
      </c>
      <c r="BW3" s="14" t="e">
        <f>#REF!</f>
        <v>#REF!</v>
      </c>
      <c r="BX3" s="14" t="e">
        <f>#REF!</f>
        <v>#REF!</v>
      </c>
    </row>
    <row r="4" spans="1:76" ht="12.75">
      <c r="A4" s="13" t="s">
        <v>5</v>
      </c>
      <c r="B4" s="13" t="s">
        <v>202</v>
      </c>
      <c r="C4" s="14">
        <f aca="true" t="shared" si="3" ref="C4:AN4">SUM(C5:C7)</f>
        <v>88570052.55390948</v>
      </c>
      <c r="D4" s="14">
        <f t="shared" si="3"/>
        <v>94396114.71693529</v>
      </c>
      <c r="E4" s="14">
        <f t="shared" si="3"/>
        <v>98222989.57984485</v>
      </c>
      <c r="F4" s="14">
        <f>SUM(F5:F7)</f>
        <v>109619127.62133628</v>
      </c>
      <c r="G4" s="14">
        <f t="shared" si="3"/>
        <v>98875109.39053853</v>
      </c>
      <c r="H4" s="14">
        <f t="shared" si="3"/>
        <v>100137820.24337557</v>
      </c>
      <c r="I4" s="14">
        <f t="shared" si="3"/>
        <v>137381682.8902125</v>
      </c>
      <c r="J4" s="14">
        <f t="shared" si="3"/>
        <v>110255777.67949592</v>
      </c>
      <c r="K4" s="14">
        <f t="shared" si="3"/>
        <v>126153217.80706353</v>
      </c>
      <c r="L4" s="14">
        <f t="shared" si="3"/>
        <v>135323369.53076062</v>
      </c>
      <c r="M4" s="14">
        <f t="shared" si="3"/>
        <v>144748952.53857082</v>
      </c>
      <c r="N4" s="14">
        <f t="shared" si="3"/>
        <v>135909088.90302038</v>
      </c>
      <c r="O4" s="14">
        <f t="shared" si="3"/>
        <v>155641344.13994095</v>
      </c>
      <c r="P4" s="14">
        <f t="shared" si="3"/>
        <v>171332938.09709457</v>
      </c>
      <c r="Q4" s="14">
        <f t="shared" si="3"/>
        <v>184432523.9400253</v>
      </c>
      <c r="R4" s="14">
        <f t="shared" si="3"/>
        <v>164552459.0773716</v>
      </c>
      <c r="S4" s="14">
        <f t="shared" si="3"/>
        <v>190801328.78005445</v>
      </c>
      <c r="T4" s="14">
        <f t="shared" si="3"/>
        <v>204040746.16018823</v>
      </c>
      <c r="U4" s="14">
        <f t="shared" si="3"/>
        <v>209803937.5672669</v>
      </c>
      <c r="V4" s="14">
        <f t="shared" si="3"/>
        <v>189586792.14142358</v>
      </c>
      <c r="W4" s="14">
        <f t="shared" si="3"/>
        <v>175575386.28264287</v>
      </c>
      <c r="X4" s="14">
        <f t="shared" si="3"/>
        <v>178070618.74656478</v>
      </c>
      <c r="Y4" s="14">
        <f t="shared" si="3"/>
        <v>178281999.67916352</v>
      </c>
      <c r="Z4" s="14">
        <f t="shared" si="3"/>
        <v>159870229.0714916</v>
      </c>
      <c r="AA4" s="14">
        <f t="shared" si="3"/>
        <v>147832762.5139008</v>
      </c>
      <c r="AB4" s="14">
        <f t="shared" si="3"/>
        <v>175101942.01296133</v>
      </c>
      <c r="AC4" s="14">
        <f t="shared" si="3"/>
        <v>157094702.54240537</v>
      </c>
      <c r="AD4" s="14">
        <f t="shared" si="3"/>
        <v>170205527.3139212</v>
      </c>
      <c r="AE4" s="14">
        <f t="shared" si="3"/>
        <v>157513847.32</v>
      </c>
      <c r="AF4" s="14">
        <f t="shared" si="3"/>
        <v>187996392.51000002</v>
      </c>
      <c r="AG4" s="14">
        <f t="shared" si="3"/>
        <v>167517711.49999997</v>
      </c>
      <c r="AH4" s="14">
        <f t="shared" si="3"/>
        <v>182487041.63000003</v>
      </c>
      <c r="AI4" s="14">
        <f t="shared" si="3"/>
        <v>165799909.98</v>
      </c>
      <c r="AJ4" s="14">
        <f t="shared" si="3"/>
        <v>200353527.49999997</v>
      </c>
      <c r="AK4" s="14">
        <f t="shared" si="3"/>
        <v>175866678.24</v>
      </c>
      <c r="AL4" s="14">
        <f t="shared" si="3"/>
        <v>191739966.50000003</v>
      </c>
      <c r="AM4" s="14">
        <f t="shared" si="3"/>
        <v>179918514.35999998</v>
      </c>
      <c r="AN4" s="14">
        <f t="shared" si="3"/>
        <v>217862188.82999998</v>
      </c>
      <c r="AO4" s="14">
        <f aca="true" t="shared" si="4" ref="AO4:AT4">SUM(AO5:AO7)</f>
        <v>185553318.79</v>
      </c>
      <c r="AP4" s="14">
        <f t="shared" si="4"/>
        <v>210905157.17000002</v>
      </c>
      <c r="AQ4" s="14">
        <f t="shared" si="4"/>
        <v>214050341.78000003</v>
      </c>
      <c r="AR4" s="14">
        <f t="shared" si="4"/>
        <v>216932620.72999996</v>
      </c>
      <c r="AS4" s="14">
        <f t="shared" si="4"/>
        <v>202362259.07</v>
      </c>
      <c r="AT4" s="14">
        <f t="shared" si="4"/>
        <v>227820874.8399999</v>
      </c>
      <c r="AU4" s="14">
        <f>SUM(AU5:AU7)</f>
        <v>224126356.51999998</v>
      </c>
      <c r="AV4" s="14">
        <f>SUM(AV5:AV7)</f>
        <v>229960831.64999998</v>
      </c>
      <c r="AW4" s="14">
        <f>SUM(AW5:AW7)</f>
        <v>227326170.71000007</v>
      </c>
      <c r="AX4" s="14" t="e">
        <f>SUM(AX5:AX7)</f>
        <v>#REF!</v>
      </c>
      <c r="AY4" s="14" t="e">
        <f>SUM(AY5:AY7)</f>
        <v>#REF!</v>
      </c>
      <c r="AZ4" s="14"/>
      <c r="BA4" s="14"/>
      <c r="BB4" s="14"/>
      <c r="BD4" s="13">
        <v>2005</v>
      </c>
      <c r="BE4" s="14">
        <f>G3</f>
        <v>200788722.50712615</v>
      </c>
      <c r="BF4" s="14">
        <f>H3</f>
        <v>203030594.3656259</v>
      </c>
      <c r="BG4" s="14">
        <f>I3</f>
        <v>227439929.4267635</v>
      </c>
      <c r="BH4" s="14">
        <f>J3</f>
        <v>218601328.55316818</v>
      </c>
      <c r="BI4" s="14">
        <f t="shared" si="2"/>
        <v>849860574.8526838</v>
      </c>
      <c r="BK4" s="13" t="s">
        <v>273</v>
      </c>
      <c r="BL4" s="14">
        <f>'[18]Ülevaade Overview'!E28</f>
        <v>-46786222.77491614</v>
      </c>
      <c r="BM4" s="14">
        <f>'[18]Ülevaade Overview'!H28</f>
        <v>-90232461.23311156</v>
      </c>
      <c r="BN4" s="14">
        <f>'[18]Ülevaade Overview'!K28</f>
        <v>-76361621.14836471</v>
      </c>
      <c r="BO4" s="14">
        <f>'[18]Ülevaade Overview'!N28</f>
        <v>-92233616.47003195</v>
      </c>
      <c r="BP4" s="14">
        <f>'[18]Ülevaade Overview'!Q28</f>
        <v>-145673582.61123815</v>
      </c>
      <c r="BQ4" s="14">
        <f>'[18]Ülevaade Overview'!T28</f>
        <v>-115469337.27902576</v>
      </c>
      <c r="BR4" s="14">
        <f>'[18]Ülevaade Overview'!W28</f>
        <v>-46461029.202318534</v>
      </c>
      <c r="BS4" s="14">
        <f>'[18]Ülevaade Overview'!Z28</f>
        <v>-53130856.66599989</v>
      </c>
      <c r="BT4" s="14">
        <f>'[18]Ülevaade Overview'!AC28</f>
        <v>-93243495.12793016</v>
      </c>
      <c r="BU4" s="14">
        <f>'[18]Ülevaade Overview'!AF28</f>
        <v>-149460376.55999994</v>
      </c>
      <c r="BV4" s="14" t="e">
        <f>#REF!</f>
        <v>#REF!</v>
      </c>
      <c r="BW4" s="14" t="e">
        <f>#REF!</f>
        <v>#REF!</v>
      </c>
      <c r="BX4" s="14"/>
    </row>
    <row r="5" spans="1:76" ht="12.75">
      <c r="A5" s="16" t="s">
        <v>203</v>
      </c>
      <c r="B5" s="16" t="s">
        <v>204</v>
      </c>
      <c r="C5" s="14">
        <f>'[2]Koond'!$H$13/15.6466</f>
        <v>84077289.57089719</v>
      </c>
      <c r="D5" s="14">
        <f>'[20]Koond'!$H$13/15.6466-C5</f>
        <v>80452933.37721932</v>
      </c>
      <c r="E5" s="14">
        <f>'[21]Koond'!$H$13/15.6466-D5-C5</f>
        <v>90433447.79121345</v>
      </c>
      <c r="F5" s="14">
        <f>'[1]Koond'!$H$13/15.6466-SUM(C5:E5)</f>
        <v>99392606.0818325</v>
      </c>
      <c r="G5" s="14">
        <f>'[3]Ülevaade Overview (2)'!G4/15.6466*1000</f>
        <v>93109851.53324045</v>
      </c>
      <c r="H5" s="14">
        <f>'[22]Koond'!$H$13/15.6466-G5</f>
        <v>85797285.50164254</v>
      </c>
      <c r="I5" s="14">
        <f>'[23]Koond'!$H$13/15.6466-H5-G5</f>
        <v>127016830.43280964</v>
      </c>
      <c r="J5" s="14">
        <f>'[3]Koond'!$H$13/15.6466-I5-H5-G5</f>
        <v>100869073.23188429</v>
      </c>
      <c r="K5" s="14">
        <f>'[43]Ülevaade Overview'!$F4/15.6466*1000</f>
        <v>119496719.5429039</v>
      </c>
      <c r="L5" s="14">
        <f>'[44]Ülevaade Overview'!$F4/15.6466*1000-SUM(K5:K5)</f>
        <v>118970045.97867903</v>
      </c>
      <c r="M5" s="14">
        <f>'[24]Ülevaade Overview'!$F4/15.6466*1000-SUM(K5:L5)</f>
        <v>136309598.09671125</v>
      </c>
      <c r="N5" s="14">
        <f>'[5]Ülevaade Overview'!$F4/15.6466*1000-SUM(K5:M5)</f>
        <v>125859943.75647098</v>
      </c>
      <c r="O5" s="14">
        <f>'[7]Ülevaade Overview'!$G4/15.6466*1000</f>
        <v>148901364.13022637</v>
      </c>
      <c r="P5" s="14">
        <f>'[25]Ülevaade Overview'!$G4/15.6466*1000-SUM(O5:O5)</f>
        <v>151485662.00132936</v>
      </c>
      <c r="Q5" s="14">
        <f>'[26]Ülevaade Overview'!$G4/15.6466*1000-SUM(O5:P5)</f>
        <v>175436746.142932</v>
      </c>
      <c r="R5" s="14">
        <f>'[6]Ülevaade Overview'!$G4/15.6466*1000-SUM(O5:Q5)</f>
        <v>153942043.87790334</v>
      </c>
      <c r="S5" s="14">
        <f>'[9]Ülevaade Overview'!$Q4/15.6466*1000</f>
        <v>178576547.47868547</v>
      </c>
      <c r="T5" s="14">
        <f>'[27]Ülevaade Overview'!$Q4/15.6466*1000-SUM(S5:S5)</f>
        <v>185381922.75765988</v>
      </c>
      <c r="U5" s="14">
        <f>'[28]Ülevaade Overview'!$Q4/15.6466*1000-SUM(S5:T5)</f>
        <v>194123697.08690697</v>
      </c>
      <c r="V5" s="14">
        <f>'[8]Ülevaade Overview'!$Q4/15.6466*1000-SUM(S5:U5)</f>
        <v>176093638.3968401</v>
      </c>
      <c r="W5" s="14">
        <f>'[11]Ülevaade Overview'!$T4/15.6466*1000</f>
        <v>172052436.8233354</v>
      </c>
      <c r="X5" s="14">
        <f>'[29]Ülevaade Overview'!$T4/15.6466*1000-SUM($W5:W5)</f>
        <v>160566984.7519589</v>
      </c>
      <c r="Y5" s="14">
        <f>'[30]Ülevaade Overview'!$T4/15.6466*1000-SUM($W5:X5)</f>
        <v>160536417.52073932</v>
      </c>
      <c r="Z5" s="14">
        <f>'[10]Ülevaade Overview'!$T4/15.6466*1000-SUM($W5:Y5)</f>
        <v>140940758.75909144</v>
      </c>
      <c r="AA5" s="19">
        <f>'[13]Ülevaade Overview'!$W4/15.6466*1000</f>
        <v>144464613.7819079</v>
      </c>
      <c r="AB5" s="19">
        <f>'[31]Ülevaade Overview'!$W4/15.6466*1000-SUM($AA5:AA5)</f>
        <v>144322784.56661513</v>
      </c>
      <c r="AC5" s="19">
        <f>'[32]Ülevaade Overview'!$W4/15.6466*1000-SUM($AA5:AB5)</f>
        <v>152385556.15916556</v>
      </c>
      <c r="AD5" s="19">
        <f>'[12]Ülevaade Overview'!$W4/15.6466*1000-SUM($AA5:AC5)</f>
        <v>143524002.27525467</v>
      </c>
      <c r="AE5" s="14">
        <f>'[15]Ülevaade Overview'!$Z4</f>
        <v>150666624</v>
      </c>
      <c r="AF5" s="14">
        <f>'[33]Ülevaade Overview'!$Z4-SUM($AE5:AE5)</f>
        <v>152648210</v>
      </c>
      <c r="AG5" s="14">
        <f>'[34]Ülevaade Overview'!$Z4-SUM($AE5:AF5)</f>
        <v>160125561.32999998</v>
      </c>
      <c r="AH5" s="14">
        <f>'[14]Ülevaade Overview'!$Z4-SUM($AE5:AG5)</f>
        <v>155098994.67000002</v>
      </c>
      <c r="AI5" s="14">
        <f>'[17]Ülevaade Overview'!$AA4</f>
        <v>162900118.13</v>
      </c>
      <c r="AJ5" s="14">
        <f>'[35]Ülevaade Overview'!$AA4-AI5</f>
        <v>164793245.01999998</v>
      </c>
      <c r="AK5" s="14">
        <f>'[36]Ülevaade Overview'!$AA4-AJ5-AI5</f>
        <v>172343363.63</v>
      </c>
      <c r="AL5" s="14">
        <f>'[18]Ülevaade Overview'!$AA4-SUM(AI5:AK5)</f>
        <v>165153204.33000004</v>
      </c>
      <c r="AM5" s="14">
        <f>'[19]Ülevaade Overview'!$AD4</f>
        <v>177195681.63</v>
      </c>
      <c r="AN5" s="14">
        <f>'[37]Ülevaade Overview'!$AD4-AM5</f>
        <v>182912281.99</v>
      </c>
      <c r="AO5" s="14">
        <f>'[38]Ülevaade Overview'!$AD4-AN5-AM5</f>
        <v>182867202.5</v>
      </c>
      <c r="AP5" s="14">
        <f>'[18]Ülevaade Overview'!AD4-AO5-AN5-AM5</f>
        <v>182775792.62</v>
      </c>
      <c r="AQ5" s="14">
        <f>'[42]Ülevaade Overview'!$AG4</f>
        <v>195739485.41000003</v>
      </c>
      <c r="AR5" s="14">
        <f>'[45]Ülevaade Overview'!$AG4-AQ5</f>
        <v>196769859.52999997</v>
      </c>
      <c r="AS5" s="14">
        <f>'[46]Ülevaade Overview'!$AG4-AR5-AQ5</f>
        <v>199001443.42000002</v>
      </c>
      <c r="AT5" s="14">
        <f>'[48]Ülevaade Overview'!$AG4-AS5-AR5-AQ5</f>
        <v>199022263.39999992</v>
      </c>
      <c r="AU5" s="14">
        <f>'[49]Ülevaade Overview'!$AJ4</f>
        <v>205220847.19</v>
      </c>
      <c r="AV5" s="14">
        <f>'[50]Ülevaade Overview'!$AJ4-AU5</f>
        <v>210127016.33999997</v>
      </c>
      <c r="AW5" s="14">
        <f>'[51]Ülevaade Overview'!$AJ4-AV5-AU5</f>
        <v>223722703.94000006</v>
      </c>
      <c r="AX5" s="14" t="e">
        <f>#REF!-AW5-AV5-AU5</f>
        <v>#REF!</v>
      </c>
      <c r="AY5" s="14" t="e">
        <f>#REF!</f>
        <v>#REF!</v>
      </c>
      <c r="AZ5" s="14"/>
      <c r="BA5" s="14"/>
      <c r="BB5" s="14"/>
      <c r="BD5" s="13">
        <v>2006</v>
      </c>
      <c r="BE5" s="14">
        <f>K3</f>
        <v>233121665.20081043</v>
      </c>
      <c r="BF5" s="14">
        <f>L3</f>
        <v>267268681.19521168</v>
      </c>
      <c r="BG5" s="14">
        <f>M3</f>
        <v>230333115.52062443</v>
      </c>
      <c r="BH5" s="14">
        <f>N3</f>
        <v>245608195.38979697</v>
      </c>
      <c r="BI5" s="14">
        <f t="shared" si="2"/>
        <v>976331657.3064435</v>
      </c>
      <c r="BK5" s="13" t="s">
        <v>274</v>
      </c>
      <c r="BL5" s="14">
        <f>'[18]Ülevaade Overview'!C28</f>
        <v>-6309067.620505482</v>
      </c>
      <c r="BM5" s="14">
        <f>'[18]Ülevaade Overview'!F28</f>
        <v>-21187208.563777298</v>
      </c>
      <c r="BN5" s="14">
        <f>'[18]Ülevaade Overview'!I28</f>
        <v>-11892518.081666157</v>
      </c>
      <c r="BO5" s="14">
        <f>'[18]Ülevaade Overview'!L28</f>
        <v>-15788727.978155077</v>
      </c>
      <c r="BP5" s="14">
        <f>'[18]Ülevaade Overview'!O28</f>
        <v>-74431002.33021843</v>
      </c>
      <c r="BQ5" s="14">
        <f>'[18]Ülevaade Overview'!R28</f>
        <v>-55639130.241714135</v>
      </c>
      <c r="BR5" s="14">
        <f>'[18]Ülevaade Overview'!U28</f>
        <v>20569333.456360787</v>
      </c>
      <c r="BS5" s="14">
        <f>'[18]Ülevaade Overview'!X28</f>
        <v>26065795.57499987</v>
      </c>
      <c r="BT5" s="14">
        <f>'[18]Ülevaade Overview'!AA28</f>
        <v>-1906923.8699996173</v>
      </c>
      <c r="BU5" s="14">
        <f>'[18]Ülevaade Overview'!AD28</f>
        <v>-72787228.48000032</v>
      </c>
      <c r="BV5" s="14" t="e">
        <f>#REF!</f>
        <v>#REF!</v>
      </c>
      <c r="BW5" s="14" t="e">
        <f>#REF!</f>
        <v>#REF!</v>
      </c>
      <c r="BX5" s="14"/>
    </row>
    <row r="6" spans="1:76" ht="12.75">
      <c r="A6" s="16" t="s">
        <v>205</v>
      </c>
      <c r="B6" s="16" t="s">
        <v>206</v>
      </c>
      <c r="C6" s="14">
        <f>'[2]Koond'!$H$14/15.6466</f>
        <v>3068469.8273107256</v>
      </c>
      <c r="D6" s="14">
        <f>'[20]Koond'!$H$14/15.6466-C6</f>
        <v>12441808.6996536</v>
      </c>
      <c r="E6" s="14">
        <f>'[21]Koond'!$H$14/15.6466-D6-C6</f>
        <v>6325847.084989712</v>
      </c>
      <c r="F6" s="14">
        <f>'[1]Koond'!$H$14/15.6466-SUM(C6:E6)</f>
        <v>8577666.734626051</v>
      </c>
      <c r="G6" s="14">
        <f>'[3]Ülevaade Overview (2)'!G5/15.6466*1000</f>
        <v>4221271.969629185</v>
      </c>
      <c r="H6" s="14">
        <f>'[22]Koond'!$H$14/15.6466-G6</f>
        <v>12416209.913335804</v>
      </c>
      <c r="I6" s="14">
        <f>'[23]Koond'!$H$14/15.6466-H6-G6</f>
        <v>8051751.443764141</v>
      </c>
      <c r="J6" s="14">
        <f>'[3]Koond'!$H$14/15.6466-SUM(G6:I6)</f>
        <v>7635402.052842151</v>
      </c>
      <c r="K6" s="14">
        <f>'[43]Ülevaade Overview'!$F5/15.6466*1000</f>
        <v>5022102.450372606</v>
      </c>
      <c r="L6" s="14">
        <f>'[44]Ülevaade Overview'!$F5/15.6466*1000-SUM(K6:K6)</f>
        <v>14248530.594506152</v>
      </c>
      <c r="M6" s="14">
        <f>'[24]Ülevaade Overview'!$F5/15.6466*1000-SUM(K6:L6)</f>
        <v>6225690.565362446</v>
      </c>
      <c r="N6" s="14">
        <f>'[5]Ülevaade Overview'!$F5/15.6466*1000-SUM(K6:M6)</f>
        <v>7567909.897357896</v>
      </c>
      <c r="O6" s="14">
        <f>'[7]Ülevaade Overview'!$G5/15.6466*1000</f>
        <v>4498653.4454769725</v>
      </c>
      <c r="P6" s="14">
        <f>'[25]Ülevaade Overview'!$G5/15.6466*1000-SUM(O6:O6)</f>
        <v>16935897.398795906</v>
      </c>
      <c r="Q6" s="14">
        <f>'[26]Ülevaade Overview'!$G5/15.6466*1000-SUM(O6:P6)</f>
        <v>6187642.67892066</v>
      </c>
      <c r="R6" s="14">
        <f>'[6]Ülevaade Overview'!$G5/15.6466*1000-SUM(O6:Q6)</f>
        <v>7685491.497194283</v>
      </c>
      <c r="S6" s="14">
        <f>'[9]Ülevaade Overview'!$Q5/15.6466*1000</f>
        <v>9471936.139480783</v>
      </c>
      <c r="T6" s="14">
        <f>'[27]Ülevaade Overview'!$Q5/15.6466*1000-SUM(S6:S6)</f>
        <v>15917479.388493346</v>
      </c>
      <c r="U6" s="14">
        <f>'[28]Ülevaade Overview'!$Q5/15.6466*1000-SUM(S6:T6)</f>
        <v>12041420.436388738</v>
      </c>
      <c r="V6" s="14">
        <f>'[8]Ülevaade Overview'!$Q5/15.6466*1000-SUM(S6:U6)</f>
        <v>10829114.120639622</v>
      </c>
      <c r="W6" s="14">
        <f>'[11]Ülevaade Overview'!$T5/15.6466*1000</f>
        <v>1204481.2930604732</v>
      </c>
      <c r="X6" s="14">
        <f>'[29]Ülevaade Overview'!$T5/15.6466*1000-SUM($W6:W6)</f>
        <v>15123989.365101684</v>
      </c>
      <c r="Y6" s="14">
        <f>'[30]Ülevaade Overview'!$T5/15.6466*1000-SUM($W6:X6)</f>
        <v>15215332.404484041</v>
      </c>
      <c r="Z6" s="14">
        <f>'[10]Ülevaade Overview'!$T5/15.6466*1000-SUM($W6:Y6)</f>
        <v>16705558.332161624</v>
      </c>
      <c r="AA6" s="19">
        <f>'[13]Ülevaade Overview'!$W5/15.6466*1000</f>
        <v>1409740.9660884792</v>
      </c>
      <c r="AB6" s="19">
        <f>'[31]Ülevaade Overview'!$W5/15.6466*1000-SUM($AA6:AA6)</f>
        <v>28844341.965666667</v>
      </c>
      <c r="AC6" s="19">
        <f>'[32]Ülevaade Overview'!$W5/15.6466*1000-SUM($AA6:AB6)</f>
        <v>695843.4420257434</v>
      </c>
      <c r="AD6" s="19">
        <f>'[12]Ülevaade Overview'!$W5/15.6466*1000-SUM($AA6:AC6)</f>
        <v>20356761.149387088</v>
      </c>
      <c r="AE6" s="14">
        <f>'[15]Ülevaade Overview'!$Z5</f>
        <v>346760</v>
      </c>
      <c r="AF6" s="14">
        <f>'[33]Ülevaade Overview'!$Z5-SUM($AE6:AE6)</f>
        <v>29917766.15</v>
      </c>
      <c r="AG6" s="14">
        <f>'[34]Ülevaade Overview'!$Z5-SUM($AE6:AF6)</f>
        <v>403671.19000000134</v>
      </c>
      <c r="AH6" s="14">
        <f>'[14]Ülevaade Overview'!$Z5-SUM($AE6:AG6)</f>
        <v>20798989.16</v>
      </c>
      <c r="AI6" s="14">
        <f>'[17]Ülevaade Overview'!$AA5</f>
        <v>439254.26</v>
      </c>
      <c r="AJ6" s="14">
        <f>'[35]Ülevaade Overview'!$AA5-AI6</f>
        <v>33062864.609999996</v>
      </c>
      <c r="AK6" s="14">
        <f>'[36]Ülevaade Overview'!$AA5-AJ6-AI6</f>
        <v>602130.560000004</v>
      </c>
      <c r="AL6" s="14">
        <f>'[18]Ülevaade Overview'!$AA5-SUM(AI6:AK6)</f>
        <v>24480703.459999993</v>
      </c>
      <c r="AM6" s="14">
        <f>'[19]Ülevaade Overview'!$AD5</f>
        <v>23815.58999999998</v>
      </c>
      <c r="AN6" s="14">
        <f>'[37]Ülevaade Overview'!$AD5-AM6</f>
        <v>32105794.83</v>
      </c>
      <c r="AO6" s="14">
        <f>'[38]Ülevaade Overview'!$AD5-AN6-AM6</f>
        <v>110686.67000000166</v>
      </c>
      <c r="AP6" s="14">
        <f>'[18]Ülevaade Overview'!AD5-AO6-AN6-AM6</f>
        <v>25315914.37000001</v>
      </c>
      <c r="AQ6" s="14">
        <f>'[42]Ülevaade Overview'!$AG5</f>
        <v>15327652.12</v>
      </c>
      <c r="AR6" s="14">
        <f>'[45]Ülevaade Overview'!$AG5-AQ6</f>
        <v>17404530.03</v>
      </c>
      <c r="AS6" s="14">
        <f>'[46]Ülevaade Overview'!$AG5-AR6-AQ6</f>
        <v>215761.88999999873</v>
      </c>
      <c r="AT6" s="14">
        <f>'[48]Ülevaade Overview'!$AG5-AS6-AR6-AQ6</f>
        <v>25409771.57</v>
      </c>
      <c r="AU6" s="14">
        <f>'[49]Ülevaade Overview'!$AJ5</f>
        <v>15791413.14</v>
      </c>
      <c r="AV6" s="14">
        <f>'[50]Ülevaade Overview'!$AJ5-AU6</f>
        <v>16780224.91</v>
      </c>
      <c r="AW6" s="14">
        <f>'[51]Ülevaade Overview'!$AJ5-AV6-AU6</f>
        <v>273357.8599999994</v>
      </c>
      <c r="AX6" s="14" t="e">
        <f>#REF!-AW6-AV6-AU6</f>
        <v>#REF!</v>
      </c>
      <c r="AY6" s="14" t="e">
        <f>#REF!</f>
        <v>#REF!</v>
      </c>
      <c r="AZ6" s="14"/>
      <c r="BA6" s="14"/>
      <c r="BB6" s="14"/>
      <c r="BD6" s="13">
        <v>2007</v>
      </c>
      <c r="BE6" s="14">
        <f>O3</f>
        <v>272936138.0095356</v>
      </c>
      <c r="BF6" s="14">
        <f>P3</f>
        <v>321336109.35027415</v>
      </c>
      <c r="BG6" s="14">
        <f>Q3</f>
        <v>277866452.9098973</v>
      </c>
      <c r="BH6" s="14">
        <f>R3</f>
        <v>286737044.1942661</v>
      </c>
      <c r="BI6" s="14">
        <f t="shared" si="2"/>
        <v>1158875744.463973</v>
      </c>
      <c r="BK6" s="13" t="s">
        <v>275</v>
      </c>
      <c r="BL6" s="14">
        <f>'[39]KOV koondnumbrid 96-17'!J$24*1000000</f>
        <v>-41804609.3080925</v>
      </c>
      <c r="BM6" s="14">
        <f>'[39]KOV koondnumbrid 96-17'!K$24*1000000</f>
        <v>-38628200.3758005</v>
      </c>
      <c r="BN6" s="14">
        <f>'[39]KOV koondnumbrid 96-17'!L$24*1000000</f>
        <v>-21461531.578745544</v>
      </c>
      <c r="BO6" s="14">
        <f>'[39]KOV koondnumbrid 96-17'!M$24*1000000</f>
        <v>-72066774.89039151</v>
      </c>
      <c r="BP6" s="14">
        <f>'[39]KOV koondnumbrid 96-17'!N$24*1000000</f>
        <v>-103562435.28945586</v>
      </c>
      <c r="BQ6" s="14">
        <f>'[39]KOV koondnumbrid 96-17'!O$24*1000000</f>
        <v>-61035624.35289456</v>
      </c>
      <c r="BR6" s="14">
        <f>'[39]KOV koondnumbrid 96-17'!P$24*1000000</f>
        <v>29100000</v>
      </c>
      <c r="BS6" s="14">
        <f>'[39]KOV koondnumbrid 96-17'!Q$24*1000000</f>
        <v>16900000</v>
      </c>
      <c r="BT6" s="14">
        <f>'[39]KOV koondnumbrid 96-17'!R$24*1000000</f>
        <v>-38700000</v>
      </c>
      <c r="BU6" s="14">
        <f>'[40]KOV koondnumbrid 96-17'!$S$24*1000000</f>
        <v>-82700000</v>
      </c>
      <c r="BV6" s="14">
        <f>'[47]Võrdlusstatistika'!$T$24*1000000</f>
        <v>-18900000</v>
      </c>
      <c r="BW6" s="19">
        <v>37900000</v>
      </c>
      <c r="BX6" s="19"/>
    </row>
    <row r="7" spans="1:72" ht="12.75">
      <c r="A7" s="16" t="s">
        <v>207</v>
      </c>
      <c r="B7" s="16" t="s">
        <v>208</v>
      </c>
      <c r="C7" s="14">
        <f>SUM('[2]Koond'!$H$15:$H$22)/15.6466</f>
        <v>1424293.155701558</v>
      </c>
      <c r="D7" s="14">
        <f>SUM('[20]Koond'!$H$15:$H$22)/15.6466-C7</f>
        <v>1501372.6400623778</v>
      </c>
      <c r="E7" s="14">
        <f>SUM('[21]Koond'!$H$15:$H$22)/15.6466-D7-C7</f>
        <v>1463694.7036416866</v>
      </c>
      <c r="F7" s="14">
        <f>SUM('[1]Koond'!$H$15:$H$22)/15.6466-SUM(C7:E7)</f>
        <v>1648854.8048777357</v>
      </c>
      <c r="G7" s="14">
        <f>'[3]Ülevaade Overview (2)'!G6/15.6466*1000</f>
        <v>1543985.8876688865</v>
      </c>
      <c r="H7" s="14">
        <f>SUM('[22]Koond'!$H$15:$H$22)/15.6466-G7</f>
        <v>1924324.828397223</v>
      </c>
      <c r="I7" s="14">
        <f>SUM('[23]Koond'!$H$15:$H$22)/15.6466-H7-G7</f>
        <v>2313101.013638748</v>
      </c>
      <c r="J7" s="14">
        <f>SUM('[3]Koond'!$H$15:$H$22)/15.6466-SUM(G7:I7)</f>
        <v>1751302.3947694693</v>
      </c>
      <c r="K7" s="14">
        <f>'[43]Ülevaade Overview'!$F6/15.6466*1000</f>
        <v>1634395.813787021</v>
      </c>
      <c r="L7" s="14">
        <f>'[44]Ülevaade Overview'!$F6/15.6466*1000-SUM(K7:K7)</f>
        <v>2104792.957575447</v>
      </c>
      <c r="M7" s="14">
        <f>'[24]Ülevaade Overview'!$F6/15.6466*1000-SUM(K7:L7)</f>
        <v>2213663.876497132</v>
      </c>
      <c r="N7" s="14">
        <f>'[5]Ülevaade Overview'!$F6/15.6466*1000-SUM(K7:M7)</f>
        <v>2481235.249191517</v>
      </c>
      <c r="O7" s="14">
        <f>'[7]Ülevaade Overview'!$G6/15.6466*1000</f>
        <v>2241326.5642375983</v>
      </c>
      <c r="P7" s="14">
        <f>'[25]Ülevaade Overview'!$G6/15.6466*1000-SUM(O7:O7)</f>
        <v>2911378.69696931</v>
      </c>
      <c r="Q7" s="14">
        <f>'[26]Ülevaade Overview'!$G6/15.6466*1000-SUM(O7:P7)</f>
        <v>2808135.118172639</v>
      </c>
      <c r="R7" s="14">
        <f>'[6]Ülevaade Overview'!$G6/15.6466*1000-SUM(O7:Q7)</f>
        <v>2924923.702273975</v>
      </c>
      <c r="S7" s="14">
        <f>'[9]Ülevaade Overview'!$Q6/15.6466*1000</f>
        <v>2752845.161888206</v>
      </c>
      <c r="T7" s="14">
        <f>'[27]Ülevaade Overview'!$Q6/15.6466*1000-SUM(S7:S7)</f>
        <v>2741344.014034999</v>
      </c>
      <c r="U7" s="14">
        <f>'[28]Ülevaade Overview'!$Q6/15.6466*1000-SUM(S7:T7)</f>
        <v>3638820.0439712135</v>
      </c>
      <c r="V7" s="14">
        <f>'[8]Ülevaade Overview'!$Q6/15.6466*1000-SUM(S7:U7)</f>
        <v>2664039.6239438597</v>
      </c>
      <c r="W7" s="14">
        <f>'[11]Ülevaade Overview'!$T6/15.6466*1000</f>
        <v>2318468.166246981</v>
      </c>
      <c r="X7" s="14">
        <f>'[29]Ülevaade Overview'!$T6/15.6466*1000-SUM($W7:W7)</f>
        <v>2379644.6295041726</v>
      </c>
      <c r="Y7" s="14">
        <f>'[30]Ülevaade Overview'!$T6/15.6466*1000-SUM($W7:X7)</f>
        <v>2530249.753940154</v>
      </c>
      <c r="Z7" s="14">
        <f>'[10]Ülevaade Overview'!$T6/15.6466*1000-SUM($W7:Y7)</f>
        <v>2223911.9802385205</v>
      </c>
      <c r="AA7" s="19">
        <f>'[13]Ülevaade Overview'!$W6/15.6466*1000</f>
        <v>1958407.7659044138</v>
      </c>
      <c r="AB7" s="19">
        <f>'[31]Ülevaade Overview'!$W6/15.6466*1000-SUM($AA7:AA7)</f>
        <v>1934815.480679508</v>
      </c>
      <c r="AC7" s="19">
        <f>'[32]Ülevaade Overview'!$W6/15.6466*1000-SUM($AA7:AB7)</f>
        <v>4013302.941214067</v>
      </c>
      <c r="AD7" s="19">
        <f>'[12]Ülevaade Overview'!$W6/15.6466*1000-SUM($AA7:AC7)</f>
        <v>6324763.889279458</v>
      </c>
      <c r="AE7" s="14">
        <f>'[15]Ülevaade Overview'!$Z6</f>
        <v>6500463.319999999</v>
      </c>
      <c r="AF7" s="14">
        <f>'[33]Ülevaade Overview'!$Z6-SUM($AE7:AE7)</f>
        <v>5430416.360000002</v>
      </c>
      <c r="AG7" s="14">
        <f>'[34]Ülevaade Overview'!$Z6-SUM($AE7:AF7)</f>
        <v>6988478.979999999</v>
      </c>
      <c r="AH7" s="14">
        <f>'[14]Ülevaade Overview'!$Z6-SUM($AE7:AG7)</f>
        <v>6589057.800000001</v>
      </c>
      <c r="AI7" s="14">
        <f>'[17]Ülevaade Overview'!$AA6</f>
        <v>2460537.59</v>
      </c>
      <c r="AJ7" s="14">
        <f>'[35]Ülevaade Overview'!$AA6-AI7</f>
        <v>2497417.870000001</v>
      </c>
      <c r="AK7" s="14">
        <f>'[36]Ülevaade Overview'!$AA6-AJ7-AI7</f>
        <v>2921184.049999999</v>
      </c>
      <c r="AL7" s="14">
        <f>'[18]Ülevaade Overview'!$AA6-SUM(AI7:AK7)</f>
        <v>2106058.709999999</v>
      </c>
      <c r="AM7" s="14">
        <f>'[19]Ülevaade Overview'!$AD6</f>
        <v>2699017.14</v>
      </c>
      <c r="AN7" s="14">
        <f>'[37]Ülevaade Overview'!$AD6-AM7</f>
        <v>2844112.0099999993</v>
      </c>
      <c r="AO7" s="14">
        <f>'[38]Ülevaade Overview'!$AD6-AN7-AM7</f>
        <v>2575429.6200000015</v>
      </c>
      <c r="AP7" s="14">
        <f>'[18]Ülevaade Overview'!AD6-AO7-AN7-AM7</f>
        <v>2813450.1799999983</v>
      </c>
      <c r="AQ7" s="14">
        <f>'[42]Ülevaade Overview'!$AG6</f>
        <v>2983204.25</v>
      </c>
      <c r="AR7" s="14">
        <f>'[45]Ülevaade Overview'!$AG6-AQ7</f>
        <v>2758231.17</v>
      </c>
      <c r="AS7" s="14">
        <f>'[46]Ülevaade Overview'!$AG6-AR7-AQ7</f>
        <v>3145053.76</v>
      </c>
      <c r="AT7" s="14">
        <f>'[48]Ülevaade Overview'!$AG6-AS7-AR7-AQ7</f>
        <v>3388839.870000001</v>
      </c>
      <c r="AU7" s="14">
        <f>'[49]Ülevaade Overview'!$AJ6</f>
        <v>3114096.1900000004</v>
      </c>
      <c r="AV7" s="14">
        <f>'[50]Ülevaade Overview'!$AJ6-AU7</f>
        <v>3053590.3999999994</v>
      </c>
      <c r="AW7" s="14">
        <f>'[51]Ülevaade Overview'!$AJ6-AV7-AU7</f>
        <v>3330108.9099999983</v>
      </c>
      <c r="AX7" s="14" t="e">
        <f>#REF!-AW7-AV7-AU7</f>
        <v>#REF!</v>
      </c>
      <c r="AY7" s="14" t="e">
        <f>#REF!</f>
        <v>#REF!</v>
      </c>
      <c r="AZ7" s="14"/>
      <c r="BA7" s="14"/>
      <c r="BB7" s="14"/>
      <c r="BD7" s="13">
        <v>2008</v>
      </c>
      <c r="BE7" s="14">
        <f>S3</f>
        <v>325170393.0176524</v>
      </c>
      <c r="BF7" s="14">
        <f>T3</f>
        <v>370657484.00547093</v>
      </c>
      <c r="BG7" s="14">
        <f>U3</f>
        <v>323843353.92008466</v>
      </c>
      <c r="BH7" s="14">
        <f>V3</f>
        <v>318205292.63315976</v>
      </c>
      <c r="BI7" s="14">
        <f t="shared" si="2"/>
        <v>1337876523.5763679</v>
      </c>
      <c r="BL7" s="15"/>
      <c r="BM7" s="15"/>
      <c r="BN7" s="15"/>
      <c r="BO7" s="15"/>
      <c r="BP7" s="15"/>
      <c r="BQ7" s="15"/>
      <c r="BR7" s="15"/>
      <c r="BS7" s="15"/>
      <c r="BT7" s="15"/>
    </row>
    <row r="8" spans="1:75" ht="25.5">
      <c r="A8" s="13" t="s">
        <v>209</v>
      </c>
      <c r="B8" s="18" t="s">
        <v>210</v>
      </c>
      <c r="C8" s="14">
        <f>'[2]Koond'!$H$24/15.6466</f>
        <v>21756182.541894086</v>
      </c>
      <c r="D8" s="14">
        <f>'[20]Koond'!$H$24/15.6466-C8</f>
        <v>23380857.14468319</v>
      </c>
      <c r="E8" s="14">
        <f>'[21]Koond'!$H$24/15.6466-D8-C8</f>
        <v>19152522.465583578</v>
      </c>
      <c r="F8" s="14">
        <f>'[1]Koond'!$H$24/15.6466-SUM(C8:E8)</f>
        <v>25549085.328441963</v>
      </c>
      <c r="G8" s="14">
        <f>'[3]Ülevaade Overview (2)'!G7/15.6466*1000</f>
        <v>22344555.832577046</v>
      </c>
      <c r="H8" s="14">
        <f>'[22]Koond'!$H$24/15.6466-G8</f>
        <v>18992101.561361577</v>
      </c>
      <c r="I8" s="14">
        <f>'[23]Koond'!$H$24/15.6466-H8-G8</f>
        <v>23591444.571983684</v>
      </c>
      <c r="J8" s="14">
        <f>'[3]Koond'!$H$24/15.6466-SUM(G8:I8)</f>
        <v>32624104.086510837</v>
      </c>
      <c r="K8" s="14">
        <f>'[43]Ülevaade Overview'!$F7/15.6466*1000</f>
        <v>23718652.906126574</v>
      </c>
      <c r="L8" s="14">
        <f>'[44]Ülevaade Overview'!$F7/15.6466*1000-SUM(K8:K8)</f>
        <v>27403447.845474422</v>
      </c>
      <c r="M8" s="14">
        <f>'[24]Ülevaade Overview'!$F7/15.6466*1000-SUM(K8:L8)</f>
        <v>23241011.878938556</v>
      </c>
      <c r="N8" s="14">
        <f>'[5]Ülevaade Overview'!$F7/15.6466*1000-SUM(K8:M8)</f>
        <v>30119943.976007536</v>
      </c>
      <c r="O8" s="14">
        <f>'[7]Ülevaade Overview'!$G7/15.6466*1000</f>
        <v>28260349.979548275</v>
      </c>
      <c r="P8" s="14">
        <f>'[25]Ülevaade Overview'!$G7/15.6466*1000-SUM(O8:O8)</f>
        <v>30303264.90803115</v>
      </c>
      <c r="Q8" s="14">
        <f>'[26]Ülevaade Overview'!$G7/15.6466*1000-SUM(O8:P8)</f>
        <v>23428144.053021073</v>
      </c>
      <c r="R8" s="14">
        <f>'[6]Ülevaade Overview'!$G7/15.6466*1000-SUM(O8:Q8)</f>
        <v>32258002.03622514</v>
      </c>
      <c r="S8" s="14">
        <f>'[9]Ülevaade Overview'!$Q7/15.6466*1000</f>
        <v>32839211.10464893</v>
      </c>
      <c r="T8" s="14">
        <f>'[27]Ülevaade Overview'!$Q7/15.6466*1000-SUM(S8:S8)</f>
        <v>35287776.13475132</v>
      </c>
      <c r="U8" s="14">
        <f>'[28]Ülevaade Overview'!$Q7/15.6466*1000-SUM(S8:T8)</f>
        <v>33935391.633709535</v>
      </c>
      <c r="V8" s="14">
        <f>'[8]Ülevaade Overview'!$Q7/15.6466*1000-SUM(S8:U8)</f>
        <v>38382119.97392404</v>
      </c>
      <c r="W8" s="14">
        <f>'[11]Ülevaade Overview'!$T7/15.6466*1000</f>
        <v>34726848.30250662</v>
      </c>
      <c r="X8" s="14">
        <f>'[29]Ülevaade Overview'!$T7/15.6466*1000-SUM($W8:W8)</f>
        <v>34520352.24735277</v>
      </c>
      <c r="Y8" s="14">
        <f>'[30]Ülevaade Overview'!$T7/15.6466*1000-SUM($W8:X8)</f>
        <v>32023323.9321367</v>
      </c>
      <c r="Z8" s="14">
        <f>'[10]Ülevaade Overview'!$T7/15.6466*1000-SUM($W8:Y8)</f>
        <v>37869020.41421139</v>
      </c>
      <c r="AA8" s="19">
        <f>'[13]Ülevaade Overview'!$W7/15.6466*1000</f>
        <v>34509768.079454966</v>
      </c>
      <c r="AB8" s="19">
        <f>'[31]Ülevaade Overview'!$W7/15.6466*1000-SUM($AA8:AA8)</f>
        <v>33327361.471373968</v>
      </c>
      <c r="AC8" s="19">
        <f>'[32]Ülevaade Overview'!$W7/15.6466*1000-SUM($AA8:AB8)</f>
        <v>32037684.856134906</v>
      </c>
      <c r="AD8" s="19">
        <f>'[12]Ülevaade Overview'!$W7/15.6466*1000-SUM($AA8:AC8)</f>
        <v>39229079.057431</v>
      </c>
      <c r="AE8" s="14">
        <f>'[15]Ülevaade Overview'!$Z7</f>
        <v>34988173.67000001</v>
      </c>
      <c r="AF8" s="14">
        <f>'[33]Ülevaade Overview'!$Z7-SUM($AE8:AE8)</f>
        <v>33860076.459999986</v>
      </c>
      <c r="AG8" s="14">
        <f>'[34]Ülevaade Overview'!$Z7-SUM($AE8:AF8)</f>
        <v>34933659.480000034</v>
      </c>
      <c r="AH8" s="14">
        <f>'[14]Ülevaade Overview'!$Z7-SUM($AE8:AG8)</f>
        <v>40260655.469999954</v>
      </c>
      <c r="AI8" s="14">
        <f>'[17]Ülevaade Overview'!$AA7</f>
        <v>43667377.73</v>
      </c>
      <c r="AJ8" s="14">
        <f>'[35]Ülevaade Overview'!$AA7-AI8</f>
        <v>36204544.57</v>
      </c>
      <c r="AK8" s="14">
        <f>'[36]Ülevaade Overview'!$AA7-AJ8-AI8</f>
        <v>37121346.529999994</v>
      </c>
      <c r="AL8" s="14">
        <f>'[18]Ülevaade Overview'!$AA7-SUM(AI8:AK8)</f>
        <v>40011905.900000066</v>
      </c>
      <c r="AM8" s="14">
        <f>'[19]Ülevaade Overview'!$AD7</f>
        <v>37755940.480000004</v>
      </c>
      <c r="AN8" s="14">
        <f>'[37]Ülevaade Overview'!$AD7-AM8</f>
        <v>38225745.609999985</v>
      </c>
      <c r="AO8" s="14">
        <f>'[38]Ülevaade Overview'!$AD7-AN8-AM8</f>
        <v>32577068.59000005</v>
      </c>
      <c r="AP8" s="14">
        <f>'[18]Ülevaade Overview'!AD7-AO8-AN8-AM8</f>
        <v>40671820.75999996</v>
      </c>
      <c r="AQ8" s="14">
        <f>'[42]Ülevaade Overview'!$AG7</f>
        <v>40892386.92</v>
      </c>
      <c r="AR8" s="14">
        <f>'[45]Ülevaade Overview'!$AG7-AQ8</f>
        <v>41412053.19</v>
      </c>
      <c r="AS8" s="14">
        <f>'[46]Ülevaade Overview'!$AG7-AR8-AQ8</f>
        <v>34730406.49999994</v>
      </c>
      <c r="AT8" s="14">
        <f>'[48]Ülevaade Overview'!$AG7-AS8-AR8-AQ8</f>
        <v>44510479.63000004</v>
      </c>
      <c r="AU8" s="14">
        <f>'[49]Ülevaade Overview'!$AJ7</f>
        <v>43668867.62</v>
      </c>
      <c r="AV8" s="14">
        <f>'[50]Ülevaade Overview'!$AJ7-AU8</f>
        <v>43922061.62</v>
      </c>
      <c r="AW8" s="14">
        <f>'[51]Ülevaade Overview'!$AJ7-AV8-AU8</f>
        <v>36329447.53000001</v>
      </c>
      <c r="AX8" s="14" t="e">
        <f>#REF!-AW8-AV8-AU8</f>
        <v>#REF!</v>
      </c>
      <c r="AY8" s="14" t="e">
        <f>#REF!</f>
        <v>#REF!</v>
      </c>
      <c r="AZ8" s="14"/>
      <c r="BA8" s="14"/>
      <c r="BB8" s="14"/>
      <c r="BD8" s="13">
        <v>2009</v>
      </c>
      <c r="BE8" s="14">
        <f>W3</f>
        <v>303253697.0249128</v>
      </c>
      <c r="BF8" s="14">
        <f>X3</f>
        <v>327879785.5823904</v>
      </c>
      <c r="BG8" s="14">
        <f>Y3</f>
        <v>280104513.9932363</v>
      </c>
      <c r="BH8" s="14">
        <f>Z3</f>
        <v>277730148.9251978</v>
      </c>
      <c r="BI8" s="14">
        <f t="shared" si="2"/>
        <v>1188968145.5257373</v>
      </c>
      <c r="BJ8" s="15"/>
      <c r="BK8" s="35" t="s">
        <v>261</v>
      </c>
      <c r="BL8" s="34">
        <v>2004</v>
      </c>
      <c r="BM8" s="34">
        <v>2005</v>
      </c>
      <c r="BN8" s="34">
        <v>2006</v>
      </c>
      <c r="BO8" s="34">
        <v>2007</v>
      </c>
      <c r="BP8" s="34">
        <v>2008</v>
      </c>
      <c r="BQ8" s="34">
        <v>2009</v>
      </c>
      <c r="BR8" s="34">
        <v>2010</v>
      </c>
      <c r="BS8" s="34">
        <v>2011</v>
      </c>
      <c r="BT8" s="34">
        <v>2012</v>
      </c>
      <c r="BU8" s="34">
        <v>2013</v>
      </c>
      <c r="BV8" s="34">
        <v>2014</v>
      </c>
      <c r="BW8" s="34">
        <v>2015</v>
      </c>
    </row>
    <row r="9" spans="1:75" ht="12.75">
      <c r="A9" s="13" t="s">
        <v>12</v>
      </c>
      <c r="B9" s="13" t="s">
        <v>211</v>
      </c>
      <c r="C9" s="19">
        <f aca="true" t="shared" si="5" ref="C9:AO9">SUM(C10:C12)</f>
        <v>57659349.991691485</v>
      </c>
      <c r="D9" s="19">
        <f t="shared" si="5"/>
        <v>84802033.21744022</v>
      </c>
      <c r="E9" s="19">
        <f t="shared" si="5"/>
        <v>48362706.34131376</v>
      </c>
      <c r="F9" s="19">
        <f>SUM(F10:F12)</f>
        <v>60357344.576457515</v>
      </c>
      <c r="G9" s="19">
        <f t="shared" si="5"/>
        <v>74563738.25176075</v>
      </c>
      <c r="H9" s="19">
        <f t="shared" si="5"/>
        <v>82953230.53251186</v>
      </c>
      <c r="I9" s="19">
        <f t="shared" si="5"/>
        <v>61744978.51929495</v>
      </c>
      <c r="J9" s="19">
        <f t="shared" si="5"/>
        <v>70885971.91083045</v>
      </c>
      <c r="K9" s="19">
        <f t="shared" si="5"/>
        <v>79473535.79052319</v>
      </c>
      <c r="L9" s="19">
        <f t="shared" si="5"/>
        <v>100200749.33723621</v>
      </c>
      <c r="M9" s="19">
        <f t="shared" si="5"/>
        <v>57065899.35449234</v>
      </c>
      <c r="N9" s="19">
        <f t="shared" si="5"/>
        <v>73272499.47528532</v>
      </c>
      <c r="O9" s="19">
        <f t="shared" si="5"/>
        <v>83935137.19785768</v>
      </c>
      <c r="P9" s="19">
        <f t="shared" si="5"/>
        <v>114850592.89622028</v>
      </c>
      <c r="Q9" s="19">
        <f t="shared" si="5"/>
        <v>64321155.73159665</v>
      </c>
      <c r="R9" s="19">
        <f t="shared" si="5"/>
        <v>83736649.3519359</v>
      </c>
      <c r="S9" s="19">
        <f t="shared" si="5"/>
        <v>96085188.08303401</v>
      </c>
      <c r="T9" s="19">
        <f t="shared" si="5"/>
        <v>126175295.96014473</v>
      </c>
      <c r="U9" s="19">
        <f t="shared" si="5"/>
        <v>74269286.23470911</v>
      </c>
      <c r="V9" s="19">
        <f t="shared" si="5"/>
        <v>84249679.42236653</v>
      </c>
      <c r="W9" s="19">
        <f t="shared" si="5"/>
        <v>86891246.01958254</v>
      </c>
      <c r="X9" s="19">
        <f t="shared" si="5"/>
        <v>110512970.11938697</v>
      </c>
      <c r="Y9" s="19">
        <f t="shared" si="5"/>
        <v>64062117.122569814</v>
      </c>
      <c r="Z9" s="19">
        <f t="shared" si="5"/>
        <v>74539788.28243828</v>
      </c>
      <c r="AA9" s="19">
        <f t="shared" si="5"/>
        <v>87163905.42226426</v>
      </c>
      <c r="AB9" s="19">
        <f t="shared" si="5"/>
        <v>106859690.47269057</v>
      </c>
      <c r="AC9" s="19">
        <f t="shared" si="5"/>
        <v>67339499.41393022</v>
      </c>
      <c r="AD9" s="19">
        <f t="shared" si="5"/>
        <v>86400702.89455847</v>
      </c>
      <c r="AE9" s="19">
        <f t="shared" si="5"/>
        <v>90030841.74100001</v>
      </c>
      <c r="AF9" s="19">
        <f t="shared" si="5"/>
        <v>110987573.04899998</v>
      </c>
      <c r="AG9" s="19">
        <f t="shared" si="5"/>
        <v>67923815.44000004</v>
      </c>
      <c r="AH9" s="19">
        <f t="shared" si="5"/>
        <v>80122914.45999998</v>
      </c>
      <c r="AI9" s="19">
        <f t="shared" si="5"/>
        <v>98661028.64</v>
      </c>
      <c r="AJ9" s="19">
        <f t="shared" si="5"/>
        <v>107283493.52999997</v>
      </c>
      <c r="AK9" s="19">
        <f t="shared" si="5"/>
        <v>66314393.12000002</v>
      </c>
      <c r="AL9" s="19">
        <f t="shared" si="5"/>
        <v>73958789.17</v>
      </c>
      <c r="AM9" s="19">
        <f t="shared" si="5"/>
        <v>115097151.69999999</v>
      </c>
      <c r="AN9" s="19">
        <f t="shared" si="5"/>
        <v>109936001.16000001</v>
      </c>
      <c r="AO9" s="19">
        <f t="shared" si="5"/>
        <v>64687912.749999985</v>
      </c>
      <c r="AP9" s="19">
        <f aca="true" t="shared" si="6" ref="AP9:AU9">SUM(AP10:AP12)</f>
        <v>77375412.47000006</v>
      </c>
      <c r="AQ9" s="19">
        <f t="shared" si="6"/>
        <v>114367500.02</v>
      </c>
      <c r="AR9" s="19">
        <f t="shared" si="6"/>
        <v>113574713.97</v>
      </c>
      <c r="AS9" s="19">
        <f t="shared" si="6"/>
        <v>63227617.699999996</v>
      </c>
      <c r="AT9" s="19">
        <f t="shared" si="6"/>
        <v>73851821.84000005</v>
      </c>
      <c r="AU9" s="19">
        <f t="shared" si="6"/>
        <v>133608362.51</v>
      </c>
      <c r="AV9" s="19">
        <f>SUM(AV10:AV12)</f>
        <v>120795957.71999998</v>
      </c>
      <c r="AW9" s="19">
        <f>SUM(AW10:AW12)</f>
        <v>64977999.65</v>
      </c>
      <c r="AX9" s="19" t="e">
        <f>SUM(AX10:AX12)</f>
        <v>#REF!</v>
      </c>
      <c r="AY9" s="19" t="e">
        <f>SUM(AY10:AY12)</f>
        <v>#REF!</v>
      </c>
      <c r="AZ9" s="19"/>
      <c r="BA9" s="19"/>
      <c r="BB9" s="19"/>
      <c r="BD9" s="13">
        <v>2010</v>
      </c>
      <c r="BE9" s="14">
        <f>AA3</f>
        <v>274955153.1554459</v>
      </c>
      <c r="BF9" s="14">
        <f>AB3</f>
        <v>320459020.6292742</v>
      </c>
      <c r="BG9" s="14">
        <f>AC3</f>
        <v>262034398.87579414</v>
      </c>
      <c r="BH9" s="14">
        <f>AD3</f>
        <v>301703784.3493154</v>
      </c>
      <c r="BI9" s="14">
        <f t="shared" si="2"/>
        <v>1159152357.0098295</v>
      </c>
      <c r="BJ9" s="15"/>
      <c r="BK9" s="13" t="s">
        <v>276</v>
      </c>
      <c r="BL9" s="13"/>
      <c r="BM9" s="13"/>
      <c r="BN9" s="13"/>
      <c r="BO9" s="13"/>
      <c r="BP9" s="13"/>
      <c r="BQ9" s="13"/>
      <c r="BR9" s="13"/>
      <c r="BS9" s="14">
        <f>'[18]Ülevaade Overview'!X4</f>
        <v>618539390</v>
      </c>
      <c r="BT9" s="14">
        <f>'[18]Ülevaade Overview'!AA4</f>
        <v>665189931.11</v>
      </c>
      <c r="BU9" s="14">
        <f>'[18]Ülevaade Overview'!AD4</f>
        <v>725750958.74</v>
      </c>
      <c r="BV9" s="14">
        <f>'[48]Ülevaade kuuliselt'!$BQ9</f>
        <v>790533051.76</v>
      </c>
      <c r="BW9" s="14" t="e">
        <f>#REF!</f>
        <v>#REF!</v>
      </c>
    </row>
    <row r="10" spans="1:75" ht="12.75">
      <c r="A10" s="16" t="s">
        <v>212</v>
      </c>
      <c r="B10" s="16" t="s">
        <v>213</v>
      </c>
      <c r="C10" s="14">
        <f>'[2]Koond'!$H$93/15.6466</f>
        <v>16240968.227602163</v>
      </c>
      <c r="D10" s="14">
        <f>'[20]Koond'!$H$93/15.6466-C10</f>
        <v>21999356.033259623</v>
      </c>
      <c r="E10" s="14">
        <f>'[21]Koond'!$H$93/15.6466-D10-C10</f>
        <v>12771282.703590555</v>
      </c>
      <c r="F10" s="14">
        <f>'[1]Koond'!$H$93/15.6466-SUM(C10:E10)</f>
        <v>8655812.155356437</v>
      </c>
      <c r="G10" s="14">
        <f>'[3]Ülevaade Overview (2)'!G8/15.6466*1000</f>
        <v>20386445.361931667</v>
      </c>
      <c r="H10" s="14">
        <f>'[22]Koond'!$H$93/15.6466-G10</f>
        <v>22871871.46728363</v>
      </c>
      <c r="I10" s="14">
        <f>'[23]Koond'!$H$93/15.6466-H10-G10</f>
        <v>11092332.008231819</v>
      </c>
      <c r="J10" s="14">
        <f>'[3]Koond'!$H$93/15.6466-SUM(G10:I10)</f>
        <v>6365417.272762135</v>
      </c>
      <c r="K10" s="14">
        <f>'[43]Ülevaade Overview'!$F8/15.6466*1000</f>
        <v>21917094.512545858</v>
      </c>
      <c r="L10" s="14">
        <f>'[44]Ülevaade Overview'!$F8/15.6466*1000-SUM(K10:K10)</f>
        <v>26527149.220917005</v>
      </c>
      <c r="M10" s="14">
        <f>'[24]Ülevaade Overview'!$F8/15.6466*1000-SUM(K10:L10)</f>
        <v>14358312.636611149</v>
      </c>
      <c r="N10" s="14">
        <f>'[5]Ülevaade Overview'!$F8/15.6466*1000-SUM(K10:M10)</f>
        <v>10301248.92947989</v>
      </c>
      <c r="O10" s="14">
        <f>'[7]Ülevaade Overview'!$G8/15.6466*1000</f>
        <v>26852772.012449987</v>
      </c>
      <c r="P10" s="14">
        <f>'[25]Ülevaade Overview'!$G8/15.6466*1000-SUM(O10:O10)</f>
        <v>32547959.683892988</v>
      </c>
      <c r="Q10" s="14">
        <f>'[26]Ülevaade Overview'!$G8/15.6466*1000-SUM(O10:P10)</f>
        <v>16080256.887119263</v>
      </c>
      <c r="R10" s="14">
        <f>'[6]Ülevaade Overview'!$G8/15.6466*1000-SUM(O10:Q10)</f>
        <v>16155574.311991096</v>
      </c>
      <c r="S10" s="14">
        <f>'[9]Ülevaade Overview'!$Q8/15.6466*1000</f>
        <v>26932324.55102067</v>
      </c>
      <c r="T10" s="14">
        <f>'[27]Ülevaade Overview'!$Q8/15.6466*1000-SUM(S10:S10)</f>
        <v>33643146.45929468</v>
      </c>
      <c r="U10" s="14">
        <f>'[28]Ülevaade Overview'!$Q8/15.6466*1000-SUM(S10:T10)</f>
        <v>16861587.97566244</v>
      </c>
      <c r="V10" s="14">
        <f>'[8]Ülevaade Overview'!$Q8/15.6466*1000-SUM(S10:U10)</f>
        <v>14370072.797285035</v>
      </c>
      <c r="W10" s="14">
        <f>'[11]Ülevaade Overview'!$T8/15.6466*1000</f>
        <v>24036497.394961208</v>
      </c>
      <c r="X10" s="14">
        <f>'[29]Ülevaade Overview'!$T8/15.6466*1000-SUM($W10:W10)</f>
        <v>22856210.995360024</v>
      </c>
      <c r="Y10" s="14">
        <f>'[30]Ülevaade Overview'!$T8/15.6466*1000-SUM($W10:X10)</f>
        <v>11302099.224112578</v>
      </c>
      <c r="Z10" s="14">
        <f>'[10]Ülevaade Overview'!$T8/15.6466*1000-SUM($W10:Y10)</f>
        <v>12203873.249140382</v>
      </c>
      <c r="AA10" s="19">
        <f>'[13]Ülevaade Overview'!$W8/15.6466*1000</f>
        <v>22006635.76751499</v>
      </c>
      <c r="AB10" s="19">
        <f>'[31]Ülevaade Overview'!$W8/15.6466*1000-SUM($AA10:AA10)</f>
        <v>23756873.806449965</v>
      </c>
      <c r="AC10" s="19">
        <f>'[32]Ülevaade Overview'!$W8/15.6466*1000-SUM($AA10:AB10)</f>
        <v>13123768.930630304</v>
      </c>
      <c r="AD10" s="19">
        <f>'[12]Ülevaade Overview'!$W8/15.6466*1000-SUM($AA10:AC10)</f>
        <v>11518785.9662802</v>
      </c>
      <c r="AE10" s="14">
        <f>'[15]Ülevaade Overview'!$Z8</f>
        <v>21073633.67</v>
      </c>
      <c r="AF10" s="14">
        <f>'[33]Ülevaade Overview'!$Z8-SUM($AE10:AE10)</f>
        <v>26102357.879999995</v>
      </c>
      <c r="AG10" s="14">
        <f>'[34]Ülevaade Overview'!$Z8-SUM($AE10:AF10)</f>
        <v>13569499.170000002</v>
      </c>
      <c r="AH10" s="14">
        <f>'[14]Ülevaade Overview'!$Z8-SUM($AE10:AG10)</f>
        <v>12035101.709999993</v>
      </c>
      <c r="AI10" s="14">
        <f>'[17]Ülevaade Overview'!$AA9</f>
        <v>20679018.52</v>
      </c>
      <c r="AJ10" s="14">
        <f>'[35]Ülevaade Overview'!$AA9-AI10</f>
        <v>25412582.44999999</v>
      </c>
      <c r="AK10" s="14">
        <f>'[36]Ülevaade Overview'!$AA9-AJ10-AI10</f>
        <v>13569340.060000014</v>
      </c>
      <c r="AL10" s="14">
        <f>'[18]Ülevaade Overview'!$AA9-SUM(AI10:AK10)</f>
        <v>12655088.959999993</v>
      </c>
      <c r="AM10" s="14">
        <f>'[19]Ülevaade Overview'!$AD9</f>
        <v>59499094.83999999</v>
      </c>
      <c r="AN10" s="14">
        <f>'[37]Ülevaade Overview'!$AD9-AM10</f>
        <v>64738036.20999999</v>
      </c>
      <c r="AO10" s="14">
        <f>'[38]Ülevaade Overview'!$AD9-AN10-AM10</f>
        <v>27172300.330000013</v>
      </c>
      <c r="AP10" s="14">
        <f>'[18]Ülevaade Overview'!AD9-AO10-AN10-AM10</f>
        <v>-77157294.39999999</v>
      </c>
      <c r="AQ10" s="14">
        <f>'[42]Ülevaade Overview'!$AG9</f>
        <v>51180800.71999999</v>
      </c>
      <c r="AR10" s="14">
        <f>'[45]Ülevaade Overview'!$AG9-AQ10</f>
        <v>55943225.76000001</v>
      </c>
      <c r="AS10" s="14">
        <f>'[46]Ülevaade Overview'!$AG9-AR10-AQ10</f>
        <v>31448750.80999998</v>
      </c>
      <c r="AT10" s="14">
        <f>'[48]Ülevaade Overview'!$AG9-AS10-AR10-AQ10</f>
        <v>-63704337.59999999</v>
      </c>
      <c r="AU10" s="14">
        <f>'[49]Ülevaade Overview'!$AJ9</f>
        <v>23821032.82</v>
      </c>
      <c r="AV10" s="14">
        <f>'[50]Ülevaade Overview'!$AJ9-AU10</f>
        <v>27018858.249999993</v>
      </c>
      <c r="AW10" s="14">
        <f>'[51]Ülevaade Overview'!$AJ9-AV10-AU10</f>
        <v>14181758.000000015</v>
      </c>
      <c r="AX10" s="14" t="e">
        <f>#REF!-AW10-AV10-AU10</f>
        <v>#REF!</v>
      </c>
      <c r="AY10" s="14" t="e">
        <f>#REF!</f>
        <v>#REF!</v>
      </c>
      <c r="AZ10" s="14"/>
      <c r="BA10" s="14"/>
      <c r="BB10" s="14"/>
      <c r="BD10" s="13">
        <v>2011</v>
      </c>
      <c r="BE10" s="14">
        <f>AE$3</f>
        <v>287564151.971</v>
      </c>
      <c r="BF10" s="14">
        <f>AF$3</f>
        <v>337802738.929</v>
      </c>
      <c r="BG10" s="14">
        <f>AG$3</f>
        <v>276550087.1700001</v>
      </c>
      <c r="BH10" s="14">
        <f>AH$3</f>
        <v>310003411.42599994</v>
      </c>
      <c r="BI10" s="14">
        <f t="shared" si="2"/>
        <v>1211920389.496</v>
      </c>
      <c r="BK10" s="13" t="s">
        <v>277</v>
      </c>
      <c r="BL10" s="13"/>
      <c r="BM10" s="13"/>
      <c r="BN10" s="13"/>
      <c r="BO10" s="13"/>
      <c r="BP10" s="13"/>
      <c r="BQ10" s="13"/>
      <c r="BR10" s="13"/>
      <c r="BS10" s="14">
        <f>'[18]Ülevaade Overview'!X5+'[18]Ülevaade Overview'!X6</f>
        <v>76975602.96000001</v>
      </c>
      <c r="BT10" s="14">
        <f>'[18]Ülevaade Overview'!AA5+'[18]Ülevaade Overview'!AA6</f>
        <v>68570151.10999998</v>
      </c>
      <c r="BU10" s="14">
        <f>'[18]Ülevaade Overview'!AD5+'[18]Ülevaade Overview'!AD6</f>
        <v>68488220.41000001</v>
      </c>
      <c r="BV10" s="14">
        <f>'[48]Ülevaade kuuliselt'!$BQ10</f>
        <v>70633044.66</v>
      </c>
      <c r="BW10" s="14" t="e">
        <f>#REF!+#REF!</f>
        <v>#REF!</v>
      </c>
    </row>
    <row r="11" spans="1:75" ht="12.75">
      <c r="A11" s="16" t="s">
        <v>214</v>
      </c>
      <c r="B11" s="16" t="s">
        <v>215</v>
      </c>
      <c r="C11" s="14">
        <f>'[2]Koond'!$H$94/15.6466</f>
        <v>33748693.37491851</v>
      </c>
      <c r="D11" s="14">
        <f>'[20]Koond'!$H$94/15.6466-C11</f>
        <v>49517760.26740634</v>
      </c>
      <c r="E11" s="14">
        <f>'[21]Koond'!$H$94/15.6466-D11-C11</f>
        <v>27338782.424296647</v>
      </c>
      <c r="F11" s="14">
        <f>'[1]Koond'!$H$94/15.6466-SUM(C11:E11)</f>
        <v>42030156.14574413</v>
      </c>
      <c r="G11" s="14">
        <f>'[3]Ülevaade Overview (2)'!G9/15.6466*1000</f>
        <v>44827487.699564114</v>
      </c>
      <c r="H11" s="14">
        <f>'[22]Koond'!$H$94/15.6466-G11</f>
        <v>50304083.060856685</v>
      </c>
      <c r="I11" s="14">
        <f>'[23]Koond'!$H$94/15.6466-H11-G11</f>
        <v>42942813.0993315</v>
      </c>
      <c r="J11" s="14">
        <f>'[3]Koond'!$H$94/15.6466-SUM(G11:I11)</f>
        <v>48423423.844157815</v>
      </c>
      <c r="K11" s="14">
        <f>'[43]Ülevaade Overview'!$F9/15.6466*1000</f>
        <v>50590106.579704225</v>
      </c>
      <c r="L11" s="14">
        <f>'[44]Ülevaade Overview'!$F9/15.6466*1000-SUM(K11:K11)</f>
        <v>63336633.70316875</v>
      </c>
      <c r="M11" s="14">
        <f>'[24]Ülevaade Overview'!$F9/15.6466*1000-SUM(K11:L11)</f>
        <v>33361693.318676263</v>
      </c>
      <c r="N11" s="14">
        <f>'[5]Ülevaade Overview'!$F9/15.6466*1000-SUM(K11:M11)</f>
        <v>50395303.63209894</v>
      </c>
      <c r="O11" s="14">
        <f>'[7]Ülevaade Overview'!$G9/15.6466*1000</f>
        <v>49020539.053212844</v>
      </c>
      <c r="P11" s="14">
        <f>'[25]Ülevaade Overview'!$G9/15.6466*1000-SUM(O11:O11)</f>
        <v>68636906.55989161</v>
      </c>
      <c r="Q11" s="14">
        <f>'[26]Ülevaade Overview'!$G9/15.6466*1000-SUM(O11:P11)</f>
        <v>37448197.23773855</v>
      </c>
      <c r="R11" s="14">
        <f>'[6]Ülevaade Overview'!$G9/15.6466*1000-SUM(O11:Q11)</f>
        <v>52654623.53290811</v>
      </c>
      <c r="S11" s="14">
        <f>'[9]Ülevaade Overview'!$Q9/15.6466*1000</f>
        <v>60834213.57036033</v>
      </c>
      <c r="T11" s="14">
        <f>'[27]Ülevaade Overview'!$Q9/15.6466*1000-SUM(S11:S11)</f>
        <v>77377897.7273018</v>
      </c>
      <c r="U11" s="14">
        <f>'[28]Ülevaade Overview'!$Q9/15.6466*1000-SUM(S11:T11)</f>
        <v>44842063.097414106</v>
      </c>
      <c r="V11" s="14">
        <f>'[8]Ülevaade Overview'!$Q9/15.6466*1000-SUM(S11:U11)</f>
        <v>56810384.91045979</v>
      </c>
      <c r="W11" s="14">
        <f>'[11]Ülevaade Overview'!$T9/15.6466*1000</f>
        <v>55424699.834468834</v>
      </c>
      <c r="X11" s="14">
        <f>'[29]Ülevaade Overview'!$T9/15.6466*1000-SUM($W11:W11)</f>
        <v>77327324.04803601</v>
      </c>
      <c r="Y11" s="14">
        <f>'[30]Ülevaade Overview'!$T9/15.6466*1000-SUM($W11:X11)</f>
        <v>39832331.937929064</v>
      </c>
      <c r="Z11" s="14">
        <f>'[10]Ülevaade Overview'!$T9/15.6466*1000-SUM($W11:Y11)</f>
        <v>48301826.798793286</v>
      </c>
      <c r="AA11" s="19">
        <f>'[13]Ülevaade Overview'!$W9/15.6466*1000</f>
        <v>56835399.82679944</v>
      </c>
      <c r="AB11" s="19">
        <f>'[31]Ülevaade Overview'!$W9/15.6466*1000-SUM($AA11:AA11)</f>
        <v>72306764.05544975</v>
      </c>
      <c r="AC11" s="19">
        <f>'[32]Ülevaade Overview'!$W9/15.6466*1000-SUM($AA11:AB11)</f>
        <v>41982033.15991975</v>
      </c>
      <c r="AD11" s="19">
        <f>'[12]Ülevaade Overview'!$W9/15.6466*1000-SUM($AA11:AC11)</f>
        <v>59144395.75115356</v>
      </c>
      <c r="AE11" s="14">
        <f>'[15]Ülevaade Overview'!$Z9</f>
        <v>59662011.760000005</v>
      </c>
      <c r="AF11" s="14">
        <f>'[33]Ülevaade Overview'!$Z9-SUM($AE11:AE11)</f>
        <v>74021521.49999999</v>
      </c>
      <c r="AG11" s="14">
        <f>'[34]Ülevaade Overview'!$Z9-SUM($AE11:AF11)</f>
        <v>40831532.370000035</v>
      </c>
      <c r="AH11" s="14">
        <f>'[14]Ülevaade Overview'!$Z9-SUM($AE11:AG11)</f>
        <v>53119597.45999998</v>
      </c>
      <c r="AI11" s="14">
        <f>'[17]Ülevaade Overview'!$AA10</f>
        <v>55051225.68</v>
      </c>
      <c r="AJ11" s="14">
        <f>'[35]Ülevaade Overview'!$AA10-AI11</f>
        <v>74695019.00999999</v>
      </c>
      <c r="AK11" s="14">
        <f>'[36]Ülevaade Overview'!$AA10-AJ11-AI11</f>
        <v>39788294.690000005</v>
      </c>
      <c r="AL11" s="14">
        <f>'[18]Ülevaade Overview'!$AA10-SUM(AI11:AK11)</f>
        <v>53722711.93000001</v>
      </c>
      <c r="AM11" s="14">
        <f>'[19]Ülevaade Overview'!$AD10</f>
        <v>30257969.200000003</v>
      </c>
      <c r="AN11" s="14">
        <f>'[37]Ülevaade Overview'!$AD10-AM11</f>
        <v>33438441.690000013</v>
      </c>
      <c r="AO11" s="14">
        <f>'[38]Ülevaade Overview'!$AD10-AN11-AM11</f>
        <v>28703490.569999978</v>
      </c>
      <c r="AP11" s="14">
        <f>'[18]Ülevaade Overview'!AD10-AO11-AN11-AM11</f>
        <v>138516913.56000006</v>
      </c>
      <c r="AQ11" s="14">
        <f>'[42]Ülevaade Overview'!$AG10</f>
        <v>39759015.04</v>
      </c>
      <c r="AR11" s="14">
        <f>'[45]Ülevaade Overview'!$AG10-AQ11</f>
        <v>44716686.01999999</v>
      </c>
      <c r="AS11" s="14">
        <f>'[46]Ülevaade Overview'!$AG10-AR11-AQ11</f>
        <v>26871337.550000012</v>
      </c>
      <c r="AT11" s="14">
        <f>'[48]Ülevaade Overview'!$AG10-AS11-AR11-AQ11</f>
        <v>121221380.74000004</v>
      </c>
      <c r="AU11" s="14">
        <f>'[49]Ülevaade Overview'!$AJ10</f>
        <v>98342744.2</v>
      </c>
      <c r="AV11" s="14">
        <f>'[50]Ülevaade Overview'!$AJ10-AU11</f>
        <v>79280273.95</v>
      </c>
      <c r="AW11" s="14">
        <f>'[51]Ülevaade Overview'!$AJ10-AV11-AU11</f>
        <v>41070400.17999999</v>
      </c>
      <c r="AX11" s="14" t="e">
        <f>#REF!-AW11-AV11-AU11</f>
        <v>#REF!</v>
      </c>
      <c r="AY11" s="14" t="e">
        <f>#REF!</f>
        <v>#REF!</v>
      </c>
      <c r="AZ11" s="14"/>
      <c r="BA11" s="14"/>
      <c r="BB11" s="14"/>
      <c r="BD11" s="13">
        <v>2012</v>
      </c>
      <c r="BE11" s="14">
        <f>AI3</f>
        <v>313673765.26</v>
      </c>
      <c r="BF11" s="14">
        <f>AJ3</f>
        <v>349490747.5199999</v>
      </c>
      <c r="BG11" s="14">
        <f>AK3</f>
        <v>286596598.20000005</v>
      </c>
      <c r="BH11" s="14">
        <f>AL3</f>
        <v>313211239.3100001</v>
      </c>
      <c r="BI11" s="14">
        <f>SUM(BE11:BH11)</f>
        <v>1262972350.2900002</v>
      </c>
      <c r="BK11" s="13" t="s">
        <v>209</v>
      </c>
      <c r="BL11" s="13"/>
      <c r="BM11" s="13"/>
      <c r="BN11" s="13"/>
      <c r="BO11" s="13"/>
      <c r="BP11" s="13"/>
      <c r="BQ11" s="13"/>
      <c r="BR11" s="13"/>
      <c r="BS11" s="14">
        <f>'[18]Ülevaade Overview'!X7</f>
        <v>144042565.07999998</v>
      </c>
      <c r="BT11" s="14">
        <f>'[18]Ülevaade Overview'!AA7</f>
        <v>157005174.73000005</v>
      </c>
      <c r="BU11" s="14">
        <f>'[18]Ülevaade Overview'!AD7</f>
        <v>149230575.44</v>
      </c>
      <c r="BV11" s="14">
        <f>'[48]Ülevaade kuuliselt'!$BQ11</f>
        <v>161545326.23999998</v>
      </c>
      <c r="BW11" s="14" t="e">
        <f>#REF!</f>
        <v>#REF!</v>
      </c>
    </row>
    <row r="12" spans="1:75" ht="12.75">
      <c r="A12" s="16" t="s">
        <v>216</v>
      </c>
      <c r="B12" s="16" t="s">
        <v>217</v>
      </c>
      <c r="C12" s="14">
        <f>('[2]Koond'!$H$45+'[2]Koond'!$H$89+'[2]Koond'!$H$96+'[2]Koond'!$H$97+'[2]Koond'!$H$98+'[2]Koond'!$H$99)/15.6466</f>
        <v>7669688.3891708115</v>
      </c>
      <c r="D12" s="14">
        <f>('[20]Koond'!$H$45+'[20]Koond'!$H$89+'[20]Koond'!$H$96+'[20]Koond'!$H$97+'[20]Koond'!$H$98+'[20]Koond'!$H$99)/15.6466-C12</f>
        <v>13284916.916774254</v>
      </c>
      <c r="E12" s="14">
        <f>('[21]Koond'!$H$45+'[21]Koond'!$H$89+'[21]Koond'!$H$96+'[21]Koond'!$H$97+'[21]Koond'!$H$98+'[21]Koond'!$H$99)/15.6466-D12-C12</f>
        <v>8252641.2134265555</v>
      </c>
      <c r="F12" s="14">
        <f>('[1]Koond'!$H$45+'[1]Koond'!$H$89+'[1]Koond'!$H$96+'[1]Koond'!$H$97+'[1]Koond'!$H$98+'[1]Koond'!$H$99)/15.6466-SUM(C12:E12)</f>
        <v>9671376.275356948</v>
      </c>
      <c r="G12" s="14">
        <f>('[4]Koond'!$H$45+'[4]Koond'!$H$89+'[4]Koond'!$H$96+'[4]Koond'!$H$97+'[4]Koond'!$H$98+'[4]Koond'!$H$99)/15.6466</f>
        <v>9349805.190264978</v>
      </c>
      <c r="H12" s="14">
        <f>('[22]Koond'!$H$45+'[22]Koond'!$H$89+'[22]Koond'!$H$96+'[22]Koond'!$H$97+'[22]Koond'!$H$98+'[22]Koond'!$H$99)/15.6466-G12</f>
        <v>9777276.00437155</v>
      </c>
      <c r="I12" s="14">
        <f>('[23]Koond'!$H$45+'[23]Koond'!$H$89+'[23]Koond'!$H$96+'[23]Koond'!$H$97+'[23]Koond'!$H$98+'[23]Koond'!$H$99)/15.6466-H12-G12</f>
        <v>7709833.411731631</v>
      </c>
      <c r="J12" s="14">
        <f>('[3]Koond'!$H$45+'[3]Koond'!$H$89+'[3]Koond'!$H$96+'[3]Koond'!$H$97+'[3]Koond'!$H$98+'[3]Koond'!$H$99)/15.6466-SUM(G12:I12)</f>
        <v>16097130.7939105</v>
      </c>
      <c r="K12" s="14">
        <f>('[43]Koond'!$H$45+'[43]Koond'!$H$89+'[43]Koond'!$H$96+'[43]Koond'!$H$97+'[43]Koond'!$H$98+'[43]Koond'!$H$99)/15.6466</f>
        <v>6966334.698273107</v>
      </c>
      <c r="L12" s="14">
        <f>('[44]Koond'!$H$45+'[44]Koond'!$H$89+'[44]Koond'!$H$96+'[44]Koond'!$H$97+'[44]Koond'!$H$98+'[44]Koond'!$H$99)/15.6466-K12</f>
        <v>10336966.413150463</v>
      </c>
      <c r="M12" s="14">
        <f>('[24]Koond'!$H$45+'[24]Koond'!$H$89+'[24]Koond'!$H$96+'[24]Koond'!$H$97+'[24]Koond'!$H$98+'[24]Koond'!$H$99)/15.6466-L12-K12</f>
        <v>9345893.399204928</v>
      </c>
      <c r="N12" s="17">
        <f>('[5]Koond'!$H$45+'[5]Koond'!$H$89+'[5]Koond'!$H$96+'[5]Koond'!$H$97+'[5]Koond'!$H$98+'[5]Koond'!$H$99)/15.6466-SUM(K12:M12)</f>
        <v>12575946.913706496</v>
      </c>
      <c r="O12" s="14">
        <f>('[7]Koond'!$H$45+'[7]Koond'!$H$89+'[7]Koond'!$H$96+'[7]Koond'!$H$97+'[7]Koond'!$H$98+'[7]Koond'!$H$99)/15.6466</f>
        <v>8061826.132194853</v>
      </c>
      <c r="P12" s="14">
        <f>('[25]Koond'!$H$45+'[25]Koond'!$H$89+'[25]Koond'!$H$96+'[25]Koond'!$H$97+'[25]Koond'!$H$98+'[25]Koond'!$H$99)/15.6466-O12</f>
        <v>13665726.652435679</v>
      </c>
      <c r="Q12" s="14">
        <f>('[26]Koond'!$H$45+'[26]Koond'!$H$89+'[26]Koond'!$H$96+'[26]Koond'!$H$97+'[26]Koond'!$H$98+'[26]Koond'!$H$99)/15.6466-P12-O12</f>
        <v>10792701.60673884</v>
      </c>
      <c r="R12" s="17">
        <f>('[6]Koond'!$H$45+'[6]Koond'!$H$89+'[6]Koond'!$H$96+'[6]Koond'!$H$97+'[6]Koond'!$H$98+'[6]Koond'!$H$99)/15.6466-SUM(O12:Q12)</f>
        <v>14926451.507036686</v>
      </c>
      <c r="S12" s="14">
        <f>('[9]Koond'!$H$45+'[9]Koond'!$H$89+'[9]Koond'!$H$96+'[9]Koond'!$H$97+'[9]Koond'!$H$98+'[9]Koond'!$H$99)/15.6466</f>
        <v>8318649.96165301</v>
      </c>
      <c r="T12" s="14">
        <f>('[27]Koond'!$H$45+'[27]Koond'!$H$89+'[27]Koond'!$H$96+'[27]Koond'!$H$97+'[27]Koond'!$H$98+'[27]Koond'!$H$99)/15.6466-S12</f>
        <v>15154251.773548245</v>
      </c>
      <c r="U12" s="14">
        <f>('[28]Koond'!$H$45+'[28]Koond'!$H$89+'[28]Koond'!$H$96+'[28]Koond'!$H$97+'[28]Koond'!$H$98+'[28]Koond'!$H$99)/15.6466-T12-S12</f>
        <v>12565635.161632568</v>
      </c>
      <c r="V12" s="17">
        <f>('[8]Koond'!$H$45+'[8]Koond'!$H$89+'[8]Koond'!$H$96+'[8]Koond'!$H$97+'[8]Koond'!$H$98+'[8]Koond'!$H$99)/15.6466-SUM(S12:U12)</f>
        <v>13069221.714621708</v>
      </c>
      <c r="W12" s="14">
        <f>('[11]Koond'!$H$45+'[11]Koond'!$H$89+'[11]Koond'!$H$96+'[11]Koond'!$H$97+'[11]Koond'!$H$98+'[11]Koond'!$H$99)/15.6466</f>
        <v>7430048.790152495</v>
      </c>
      <c r="X12" s="14">
        <f>('[29]Koond'!$H$45+'[29]Koond'!$H$89+'[29]Koond'!$H$96+'[29]Koond'!$H$97+'[29]Koond'!$H$98+'[29]Koond'!$H$99)/15.6466-W12</f>
        <v>10329435.075990949</v>
      </c>
      <c r="Y12" s="14">
        <f>('[30]Koond'!$H$45+'[30]Koond'!$H$89+'[30]Koond'!$H$96+'[30]Koond'!$H$97+'[30]Koond'!$H$98+'[30]Koond'!$H$99)/15.6466-X12-W12</f>
        <v>12927685.960528173</v>
      </c>
      <c r="Z12" s="17">
        <f>('[10]Koond'!$H$45+'[10]Koond'!$H$89+'[10]Koond'!$H$96+'[10]Koond'!$H$97+'[10]Koond'!$H$98+'[10]Koond'!$H$99)/15.6466-SUM(W12:Y12)</f>
        <v>14034088.234504618</v>
      </c>
      <c r="AA12" s="19">
        <f>('[13]Koond'!$H$45+'[13]Koond'!$H$89+'[13]Koond'!$H$96+'[13]Koond'!$H$97+'[13]Koond'!$H$98+'[13]Koond'!$H$99)/15.6466</f>
        <v>8321869.827949842</v>
      </c>
      <c r="AB12" s="19">
        <f>('[31]Koond'!$H$45+'[31]Koond'!$H$89+'[31]Koond'!$H$96+'[31]Koond'!$H$97+'[31]Koond'!$H$98+'[31]Koond'!$H$99)/15.6466-AA12</f>
        <v>10796052.610790843</v>
      </c>
      <c r="AC12" s="19">
        <f>('[32]Koond'!$H$45+'[32]Koond'!$H$89+'[32]Koond'!$H$96+'[32]Koond'!$H$97+'[32]Koond'!$H$98+'[32]Koond'!$H$99)/15.6466-AA12-AB12</f>
        <v>12233697.323380163</v>
      </c>
      <c r="AD12" s="17">
        <f>('[12]Koond'!$H$45+'[12]Koond'!$H$89+'[12]Koond'!$H$96+'[12]Koond'!$H$97+'[12]Koond'!$H$98+'[12]Koond'!$H$99)/15.6466-SUM(AA12:AC12)</f>
        <v>15737521.177124724</v>
      </c>
      <c r="AE12" s="14">
        <f>'[15]Koond'!$H$45+'[15]Koond'!$H$89+'[15]Koond'!$H$96+'[15]Koond'!$H$97+'[15]Koond'!$H$98+'[15]Koond'!$H$99</f>
        <v>9295196.311</v>
      </c>
      <c r="AF12" s="14">
        <f>('[33]Koond'!$H$45+'[33]Koond'!$H$89+'[33]Koond'!$H$96+'[33]Koond'!$H$97+'[33]Koond'!$H$98+'[33]Koond'!$H$99)-AE12</f>
        <v>10863693.669</v>
      </c>
      <c r="AG12" s="14">
        <f>'[34]Koond'!$H$45+'[34]Koond'!$H$89+'[34]Koond'!$H$96+'[34]Koond'!$H$97+'[34]Koond'!$H$98+'[34]Koond'!$H$99-SUM(AE12:AF12)</f>
        <v>13522783.900000002</v>
      </c>
      <c r="AH12" s="17">
        <f>'[14]Koond'!$H$45+'[14]Koond'!$H$89+'[14]Koond'!$H$96+'[14]Koond'!$H$97+'[14]Koond'!$H$98+'[14]Koond'!$H$99-SUM(AE12:AG12)</f>
        <v>14968215.29</v>
      </c>
      <c r="AI12" s="14">
        <f>'[17]Ülevaade Overview'!$AA11</f>
        <v>22930784.439999998</v>
      </c>
      <c r="AJ12" s="14">
        <f>'[35]Ülevaade Overview'!$AA11-AI12</f>
        <v>7175892.07</v>
      </c>
      <c r="AK12" s="14">
        <f>'[36]Ülevaade Overview'!$AA11-AJ12-AI12</f>
        <v>12956758.370000005</v>
      </c>
      <c r="AL12" s="14">
        <f>'[18]Ülevaade Overview'!$AA11-SUM(AI12:AK12)</f>
        <v>7580988.280000001</v>
      </c>
      <c r="AM12" s="14">
        <f>'[19]Ülevaade Overview'!$AD11</f>
        <v>25340087.66</v>
      </c>
      <c r="AN12" s="14">
        <f>'[37]Ülevaade Overview'!$AD11-AM12</f>
        <v>11759523.260000002</v>
      </c>
      <c r="AO12" s="14">
        <f>'[38]Ülevaade Overview'!$AD11-AN12-AM12</f>
        <v>8812121.84999999</v>
      </c>
      <c r="AP12" s="14">
        <f>'[18]Ülevaade Overview'!AD11-AO12-AN12-AM12</f>
        <v>16015793.309999984</v>
      </c>
      <c r="AQ12" s="14">
        <f>'[42]Ülevaade Overview'!$AG11</f>
        <v>23427684.26</v>
      </c>
      <c r="AR12" s="14">
        <f>'[45]Ülevaade Overview'!$AG11-AQ12</f>
        <v>12914802.189999994</v>
      </c>
      <c r="AS12" s="14">
        <f>'[46]Ülevaade Overview'!$AG11-AR12-AQ12</f>
        <v>4907529.340000004</v>
      </c>
      <c r="AT12" s="14">
        <f>'[48]Ülevaade Overview'!$AG11-AS12-AR12-AQ12</f>
        <v>16334778.699999992</v>
      </c>
      <c r="AU12" s="14">
        <f>'[49]Ülevaade Overview'!$AJ11</f>
        <v>11444585.49</v>
      </c>
      <c r="AV12" s="14">
        <f>'[50]Ülevaade Overview'!$AJ11-AU12</f>
        <v>14496825.520000001</v>
      </c>
      <c r="AW12" s="14">
        <f>'[51]Ülevaade Overview'!$AJ11-AV12-AU12</f>
        <v>9725841.469999993</v>
      </c>
      <c r="AX12" s="14" t="e">
        <f>#REF!-AW12-AV12-AU12</f>
        <v>#REF!</v>
      </c>
      <c r="AY12" s="14" t="e">
        <f>#REF!</f>
        <v>#REF!</v>
      </c>
      <c r="AZ12" s="14"/>
      <c r="BA12" s="14"/>
      <c r="BB12" s="14"/>
      <c r="BD12" s="13">
        <v>2013</v>
      </c>
      <c r="BE12" s="14">
        <f>AM3</f>
        <v>338590098.15</v>
      </c>
      <c r="BF12" s="14">
        <f>AN3</f>
        <v>371277983.66999996</v>
      </c>
      <c r="BG12" s="14">
        <f>AO3</f>
        <v>287534388.06000006</v>
      </c>
      <c r="BH12" s="14">
        <f>AP3</f>
        <v>334900272.16</v>
      </c>
      <c r="BI12" s="14">
        <f>SUM(BE12:BH12)</f>
        <v>1332302742.04</v>
      </c>
      <c r="BK12" s="13" t="s">
        <v>14</v>
      </c>
      <c r="BL12" s="13"/>
      <c r="BM12" s="13"/>
      <c r="BN12" s="13"/>
      <c r="BO12" s="13"/>
      <c r="BP12" s="13"/>
      <c r="BQ12" s="13"/>
      <c r="BR12" s="13"/>
      <c r="BS12" s="14">
        <f>'[18]Ülevaade Overview'!X9</f>
        <v>72780592.42999999</v>
      </c>
      <c r="BT12" s="14">
        <f>'[18]Ülevaade Overview'!AA9</f>
        <v>72316029.99</v>
      </c>
      <c r="BU12" s="14">
        <f>'[18]Ülevaade Overview'!AD9</f>
        <v>74252136.98</v>
      </c>
      <c r="BV12" s="14">
        <f>'[48]Ülevaade kuuliselt'!$BQ12</f>
        <v>74868439.69</v>
      </c>
      <c r="BW12" s="14" t="e">
        <f>#REF!</f>
        <v>#REF!</v>
      </c>
    </row>
    <row r="13" spans="1:75" ht="12.75">
      <c r="A13" s="13" t="s">
        <v>218</v>
      </c>
      <c r="B13" s="13" t="s">
        <v>219</v>
      </c>
      <c r="C13" s="14">
        <f>('[2]Koond'!$H$114+'[2]Koond'!$H$122)/15.6466</f>
        <v>3292304.18237828</v>
      </c>
      <c r="D13" s="14">
        <f>('[20]Koond'!$H$114+'[20]Koond'!$H$122)/15.6466-C13</f>
        <v>3428441.437756447</v>
      </c>
      <c r="E13" s="14">
        <f>('[21]Koond'!$H$114+'[21]Koond'!$H$122)/15.6466-D13-C13</f>
        <v>2326033.6098577296</v>
      </c>
      <c r="F13" s="14">
        <f>('[1]Koond'!$H$114+'[1]Koond'!$H$122)/15.6466-SUM(C13:E13)</f>
        <v>1775386.319711633</v>
      </c>
      <c r="G13" s="14">
        <f>('[4]Koond'!$H$114+'[4]Koond'!$H$122)/15.6466</f>
        <v>5005319.032249819</v>
      </c>
      <c r="H13" s="14">
        <f>('[22]Koond'!$H$114+'[22]Koond'!$H$122)/15.6466-G13</f>
        <v>947442.028376868</v>
      </c>
      <c r="I13" s="14">
        <f>('[23]Koond'!$H$114+'[23]Koond'!$H$122)/15.6466-H13-G13</f>
        <v>4721823.445272357</v>
      </c>
      <c r="J13" s="14">
        <f>('[3]Koond'!$H$114+'[3]Koond'!$H$122)/15.6466-SUM(G13:I13)</f>
        <v>4835474.876330962</v>
      </c>
      <c r="K13" s="14">
        <f>('[43]Koond'!$H$114+'[43]Koond'!$H$122)/15.6466</f>
        <v>3776258.697097133</v>
      </c>
      <c r="L13" s="14">
        <f>('[44]Koond'!$H$114+'[44]Koond'!$H$122)/15.6466-K13</f>
        <v>4341114.481740443</v>
      </c>
      <c r="M13" s="14">
        <f>('[24]Koond'!$H$114+'[24]Koond'!$H$122)/15.6466-L13-K13</f>
        <v>5277251.748622703</v>
      </c>
      <c r="N13" s="19">
        <f>('[5]Koond'!$H$114+'[5]Koond'!$H$122)/15.6466-SUM(K13:M13)</f>
        <v>6306663.035483748</v>
      </c>
      <c r="O13" s="14">
        <f>('[7]Koond'!$H$114+'[7]Koond'!$H$122)/15.6466</f>
        <v>5099306.692188718</v>
      </c>
      <c r="P13" s="14">
        <f>('[25]Koond'!$H$114+'[25]Koond'!$H$122)/15.6466-O13</f>
        <v>4849313.448928201</v>
      </c>
      <c r="Q13" s="14">
        <f>('[26]Koond'!$H$114+'[26]Koond'!$H$122)/15.6466-P13-O13</f>
        <v>5684629.185254308</v>
      </c>
      <c r="R13" s="19">
        <f>('[6]Koond'!$H$114+'[6]Koond'!$H$122)/15.6466-SUM(O13:Q13)</f>
        <v>6189933.728733398</v>
      </c>
      <c r="S13" s="14">
        <f>('[9]Koond'!$H$114+'[9]Koond'!$H$122)/15.6466</f>
        <v>5444665.049914997</v>
      </c>
      <c r="T13" s="14">
        <f>(+'[27]Koond'!$H$114+'[27]Koond'!$H$122)/15.6466-S13</f>
        <v>5153665.750386668</v>
      </c>
      <c r="U13" s="14">
        <f>('[28]Koond'!$H$114+'[28]Koond'!$H$122)/15.6466-T13-S13</f>
        <v>5834738.484399164</v>
      </c>
      <c r="V13" s="19">
        <f>('[8]Koond'!$H$114+'[8]Koond'!$H$122)/15.6466-SUM(S13:U13)</f>
        <v>5986701.095445659</v>
      </c>
      <c r="W13" s="14">
        <f>('[11]Koond'!$H$114+'[11]Koond'!$H$122)/15.6466</f>
        <v>6060216.420180742</v>
      </c>
      <c r="X13" s="14">
        <f>('[29]Koond'!$H$114+'[29]Koond'!$H$122)/15.6466-W13</f>
        <v>4775844.4690859355</v>
      </c>
      <c r="Y13" s="14">
        <f>('[30]Koond'!$H$114+'[30]Koond'!$H$122)/15.6466-X13-W13</f>
        <v>5737073.2593662515</v>
      </c>
      <c r="Z13" s="19">
        <f>('[10]Koond'!$H$114+'[10]Koond'!$H$122)/15.6466-SUM(W13:Y13)</f>
        <v>5451111.157056488</v>
      </c>
      <c r="AA13" s="19">
        <f>('[13]Koond'!$H$114+'[13]Koond'!$H$122)/15.6466</f>
        <v>5448717.139825906</v>
      </c>
      <c r="AB13" s="19">
        <f>('[31]Koond'!$H$114+'[31]Koond'!$H$122)/15.6466-AA13</f>
        <v>5170026.672248284</v>
      </c>
      <c r="AC13" s="19">
        <f>('[32]Koond'!$H$114+'[32]Koond'!$H$122)/15.6466-AB13-AA13</f>
        <v>5562512.063323659</v>
      </c>
      <c r="AD13" s="19">
        <f>('[12]Koond'!$H$114+'[12]Koond'!$H$122)/15.6466-SUM(AA13:AC13)</f>
        <v>5868475.083404705</v>
      </c>
      <c r="AE13" s="14">
        <f>'[15]Koond'!$H$114+'[15]Koond'!$H$122</f>
        <v>5031289.24</v>
      </c>
      <c r="AF13" s="14">
        <f>'[33]Koond'!$H$114+'[33]Koond'!$H$122-AE13</f>
        <v>4958696.91</v>
      </c>
      <c r="AG13" s="14">
        <f>'[34]Koond'!$H$114+'[34]Koond'!$H$122-SUM(AE13:AF13)</f>
        <v>6174900.750000004</v>
      </c>
      <c r="AH13" s="19">
        <f>'[14]Koond'!$H$114+'[14]Koond'!$H$122-SUM(AE13:AG13)</f>
        <v>7132799.8659999985</v>
      </c>
      <c r="AI13" s="14">
        <f>'[17]Ülevaade Overview'!$AA12</f>
        <v>5545448.91</v>
      </c>
      <c r="AJ13" s="14">
        <f>'[35]Ülevaade Overview'!$AA12-AI13</f>
        <v>5649181.920000002</v>
      </c>
      <c r="AK13" s="14">
        <f>'[36]Ülevaade Overview'!$AA12-AJ13-AI13</f>
        <v>7294180.309999999</v>
      </c>
      <c r="AL13" s="14">
        <f>'[18]Ülevaade Overview'!$AA12-SUM(AI13:AK13)</f>
        <v>7500577.74000001</v>
      </c>
      <c r="AM13" s="14">
        <f>'[19]Ülevaade Overview'!$AD12</f>
        <v>5818491.609999999</v>
      </c>
      <c r="AN13" s="14">
        <f>'[37]Ülevaade Overview'!$AD12-AM13</f>
        <v>5254048.070000002</v>
      </c>
      <c r="AO13" s="14">
        <f>'[38]Ülevaade Overview'!$AD12-AN13-AM13</f>
        <v>4716087.929999998</v>
      </c>
      <c r="AP13" s="14">
        <f>'[18]Ülevaade Overview'!AD12-AO13-AN13-AM13</f>
        <v>5947881.7600000035</v>
      </c>
      <c r="AQ13" s="14">
        <f>'[42]Ülevaade Overview'!$AG12</f>
        <v>4026437.54</v>
      </c>
      <c r="AR13" s="14">
        <f>'[45]Ülevaade Overview'!$AG12-AQ13</f>
        <v>4158027.34</v>
      </c>
      <c r="AS13" s="14">
        <f>'[46]Ülevaade Overview'!$AG12-AR13-AQ13</f>
        <v>4518881.649999998</v>
      </c>
      <c r="AT13" s="14">
        <f>'[48]Ülevaade Overview'!$AG12-AS13-AR13-AQ13</f>
        <v>5782966.860000006</v>
      </c>
      <c r="AU13" s="14">
        <f>'[49]Ülevaade Overview'!$AJ12</f>
        <v>4633428.91</v>
      </c>
      <c r="AV13" s="14">
        <f>'[50]Ülevaade Overview'!$AJ12-AU13</f>
        <v>4054510.1400000006</v>
      </c>
      <c r="AW13" s="14">
        <f>'[51]Ülevaade Overview'!$AJ12-AV13-AU13</f>
        <v>4752594.549999999</v>
      </c>
      <c r="AX13" s="14" t="e">
        <f>#REF!-AW13-AV13-AU13</f>
        <v>#REF!</v>
      </c>
      <c r="AY13" s="14" t="e">
        <f>#REF!</f>
        <v>#REF!</v>
      </c>
      <c r="AZ13" s="14"/>
      <c r="BA13" s="14"/>
      <c r="BB13" s="14"/>
      <c r="BD13" s="13">
        <v>2014</v>
      </c>
      <c r="BE13" s="14">
        <f>AQ3</f>
        <v>373336666.26000005</v>
      </c>
      <c r="BF13" s="14">
        <f>AR3</f>
        <v>376077415.22999996</v>
      </c>
      <c r="BG13" s="14">
        <f>AS3</f>
        <v>304839164.9199999</v>
      </c>
      <c r="BH13" s="14">
        <f>AT3</f>
        <v>351966143.17</v>
      </c>
      <c r="BI13" s="14">
        <f>SUM(BE13:BH13)</f>
        <v>1406219389.58</v>
      </c>
      <c r="BK13" s="13" t="s">
        <v>278</v>
      </c>
      <c r="BL13" s="13"/>
      <c r="BM13" s="13"/>
      <c r="BN13" s="13"/>
      <c r="BO13" s="13"/>
      <c r="BP13" s="13"/>
      <c r="BQ13" s="13"/>
      <c r="BR13" s="13"/>
      <c r="BS13" s="14">
        <f>'[18]Ülevaade Overview'!X10</f>
        <v>227634663.09</v>
      </c>
      <c r="BT13" s="14">
        <f>'[18]Ülevaade Overview'!AA10</f>
        <v>223257251.31</v>
      </c>
      <c r="BU13" s="14">
        <f>'[18]Ülevaade Overview'!AD10</f>
        <v>230916815.02</v>
      </c>
      <c r="BV13" s="14">
        <f>'[48]Ülevaade kuuliselt'!$BQ13</f>
        <v>232568419.35000002</v>
      </c>
      <c r="BW13" s="14" t="e">
        <f>#REF!</f>
        <v>#REF!</v>
      </c>
    </row>
    <row r="14" spans="1:75" ht="12.75">
      <c r="A14" s="11" t="s">
        <v>220</v>
      </c>
      <c r="B14" s="11" t="s">
        <v>221</v>
      </c>
      <c r="C14" s="12">
        <f aca="true" t="shared" si="7" ref="C14:AH14">SUM(C15:C18)</f>
        <v>161688206.62078127</v>
      </c>
      <c r="D14" s="12">
        <f t="shared" si="7"/>
        <v>192789199.90140247</v>
      </c>
      <c r="E14" s="12">
        <f t="shared" si="7"/>
        <v>144498985.9477458</v>
      </c>
      <c r="F14" s="12">
        <f t="shared" si="7"/>
        <v>196838592.25838208</v>
      </c>
      <c r="G14" s="12">
        <f t="shared" si="7"/>
        <v>184583617.0222285</v>
      </c>
      <c r="H14" s="12">
        <f t="shared" si="7"/>
        <v>159543009.04931426</v>
      </c>
      <c r="I14" s="12">
        <f t="shared" si="7"/>
        <v>224842685.61853695</v>
      </c>
      <c r="J14" s="12">
        <f t="shared" si="7"/>
        <v>200672733.5295847</v>
      </c>
      <c r="K14" s="12">
        <f t="shared" si="7"/>
        <v>197220647.44417316</v>
      </c>
      <c r="L14" s="12">
        <f t="shared" si="7"/>
        <v>234527656.67947024</v>
      </c>
      <c r="M14" s="12">
        <f t="shared" si="7"/>
        <v>177074814.878568</v>
      </c>
      <c r="N14" s="12">
        <f t="shared" si="7"/>
        <v>254548853.22306436</v>
      </c>
      <c r="O14" s="12">
        <f t="shared" si="7"/>
        <v>228848330.2238186</v>
      </c>
      <c r="P14" s="12">
        <f t="shared" si="7"/>
        <v>272060514.901084</v>
      </c>
      <c r="Q14" s="12">
        <f t="shared" si="7"/>
        <v>216543289.0774159</v>
      </c>
      <c r="R14" s="12">
        <f t="shared" si="7"/>
        <v>300912285.50758654</v>
      </c>
      <c r="S14" s="12">
        <f t="shared" si="7"/>
        <v>278842165.36825895</v>
      </c>
      <c r="T14" s="12">
        <f t="shared" si="7"/>
        <v>329062248.30627745</v>
      </c>
      <c r="U14" s="12">
        <f t="shared" si="7"/>
        <v>256962031.1192208</v>
      </c>
      <c r="V14" s="12">
        <f t="shared" si="7"/>
        <v>335268405.57756937</v>
      </c>
      <c r="W14" s="12">
        <f t="shared" si="7"/>
        <v>289485362.8027814</v>
      </c>
      <c r="X14" s="12">
        <f t="shared" si="7"/>
        <v>294189575.00990623</v>
      </c>
      <c r="Y14" s="12">
        <f t="shared" si="7"/>
        <v>255297016.0181765</v>
      </c>
      <c r="Z14" s="12">
        <f t="shared" si="7"/>
        <v>287653055.5194105</v>
      </c>
      <c r="AA14" s="12">
        <f t="shared" si="7"/>
        <v>273472251.3677094</v>
      </c>
      <c r="AB14" s="12">
        <f t="shared" si="7"/>
        <v>276541597.3725919</v>
      </c>
      <c r="AC14" s="12">
        <f t="shared" si="7"/>
        <v>231733149.24712086</v>
      </c>
      <c r="AD14" s="12">
        <f t="shared" si="7"/>
        <v>289876980.5505159</v>
      </c>
      <c r="AE14" s="12">
        <f t="shared" si="7"/>
        <v>285662675.0500001</v>
      </c>
      <c r="AF14" s="12">
        <f t="shared" si="7"/>
        <v>282124692.7869999</v>
      </c>
      <c r="AG14" s="12">
        <f t="shared" si="7"/>
        <v>242787451.29200011</v>
      </c>
      <c r="AH14" s="12">
        <f t="shared" si="7"/>
        <v>302261081.35199994</v>
      </c>
      <c r="AI14" s="12">
        <f aca="true" t="shared" si="8" ref="AI14:AN14">SUM(AI15:AI18)</f>
        <v>277493762.35157007</v>
      </c>
      <c r="AJ14" s="12">
        <f t="shared" si="8"/>
        <v>292030339.98597765</v>
      </c>
      <c r="AK14" s="12">
        <f t="shared" si="8"/>
        <v>263324403.7914524</v>
      </c>
      <c r="AL14" s="12">
        <f t="shared" si="8"/>
        <v>311493729.8109997</v>
      </c>
      <c r="AM14" s="12">
        <f t="shared" si="8"/>
        <v>297888961.6700001</v>
      </c>
      <c r="AN14" s="12">
        <f t="shared" si="8"/>
        <v>324320319.07999986</v>
      </c>
      <c r="AO14" s="12">
        <f aca="true" t="shared" si="9" ref="AO14:AT14">SUM(AO15:AO18)</f>
        <v>254598353.26000023</v>
      </c>
      <c r="AP14" s="12">
        <f t="shared" si="9"/>
        <v>334654908.43999994</v>
      </c>
      <c r="AQ14" s="12">
        <f t="shared" si="9"/>
        <v>309868983.59</v>
      </c>
      <c r="AR14" s="12">
        <f t="shared" si="9"/>
        <v>339263233.04000014</v>
      </c>
      <c r="AS14" s="12">
        <f t="shared" si="9"/>
        <v>269488441.97999996</v>
      </c>
      <c r="AT14" s="12">
        <f t="shared" si="9"/>
        <v>350941200.34999996</v>
      </c>
      <c r="AU14" s="12">
        <f>SUM(AU15:AU18)</f>
        <v>330527925.41</v>
      </c>
      <c r="AV14" s="12">
        <f>SUM(AV15:AV18)</f>
        <v>357498140.9099999</v>
      </c>
      <c r="AW14" s="12">
        <f>SUM(AW15:AW18)</f>
        <v>289495845.16000015</v>
      </c>
      <c r="AX14" s="12" t="e">
        <f>SUM(AX15:AX18)</f>
        <v>#REF!</v>
      </c>
      <c r="AY14" s="12" t="e">
        <f>SUM(AY15:AY18)</f>
        <v>#REF!</v>
      </c>
      <c r="AZ14" s="12"/>
      <c r="BA14" s="12"/>
      <c r="BB14" s="12"/>
      <c r="BD14" s="13">
        <v>2015</v>
      </c>
      <c r="BE14" s="14">
        <f>AU3</f>
        <v>406037015.56</v>
      </c>
      <c r="BF14" s="14">
        <f>AV3</f>
        <v>398733361.12999994</v>
      </c>
      <c r="BG14" s="14">
        <f>AW3</f>
        <v>333386212.44000006</v>
      </c>
      <c r="BH14" s="14" t="e">
        <f>AX3</f>
        <v>#REF!</v>
      </c>
      <c r="BI14" s="14" t="e">
        <f>SUM(BE14:BH14)</f>
        <v>#REF!</v>
      </c>
      <c r="BK14" s="13" t="s">
        <v>280</v>
      </c>
      <c r="BL14" s="13"/>
      <c r="BM14" s="13"/>
      <c r="BN14" s="13"/>
      <c r="BO14" s="13"/>
      <c r="BP14" s="13"/>
      <c r="BQ14" s="13"/>
      <c r="BR14" s="13"/>
      <c r="BS14" s="14">
        <f>'[18]Ülevaade Overview'!X22</f>
        <v>92150656.07000001</v>
      </c>
      <c r="BT14" s="14">
        <f>'[18]Ülevaade Overview'!AA22</f>
        <v>138330031.19000003</v>
      </c>
      <c r="BU14" s="14">
        <f>'[18]Ülevaade Overview'!AD22</f>
        <v>132811403.76000005</v>
      </c>
      <c r="BV14" s="14">
        <f>'[48]Ülevaade kuuliselt'!$BQ14</f>
        <v>85670093.34999998</v>
      </c>
      <c r="BW14" s="14" t="e">
        <f>#REF!</f>
        <v>#REF!</v>
      </c>
    </row>
    <row r="15" spans="1:75" ht="12.75" customHeight="1">
      <c r="A15" s="13" t="s">
        <v>28</v>
      </c>
      <c r="B15" s="13" t="s">
        <v>222</v>
      </c>
      <c r="C15" s="14">
        <f>('[2]Koond'!$H$127-'[2]Koond'!$H$147)/15.6466</f>
        <v>21140920.405711144</v>
      </c>
      <c r="D15" s="14">
        <f>('[20]Koond'!$H$127-'[20]Koond'!$H$147)/15.6466-C15</f>
        <v>19026444.31889356</v>
      </c>
      <c r="E15" s="14">
        <f>('[21]Koond'!$H$127-'[21]Koond'!$H$147)/15.6466-D15-C15</f>
        <v>14115392.438612856</v>
      </c>
      <c r="F15" s="14">
        <f>('[1]Koond'!$H$127-'[1]Koond'!$H$147)/15.6466-SUM(C15:E15)</f>
        <v>20710082.60452752</v>
      </c>
      <c r="G15" s="14">
        <f>('[4]Koond'!$H$127-'[4]Koond'!$H$147)/15.6466</f>
        <v>13725670.943847226</v>
      </c>
      <c r="H15" s="14">
        <f>('[22]Koond'!$H$127-'[22]Koond'!$H$147)/15.6466-G15</f>
        <v>24979692.80489052</v>
      </c>
      <c r="I15" s="14">
        <f>('[23]Koond'!$H$127-'[23]Koond'!$H$147)/15.6466-H15-G15</f>
        <v>27867516.284624137</v>
      </c>
      <c r="J15" s="14">
        <f>('[3]Koond'!$H$127-'[3]Koond'!$H$147)/15.6466-SUM(G15:I15)</f>
        <v>18955231.947515756</v>
      </c>
      <c r="K15" s="14">
        <f>('[43]Koond'!$H$127-'[43]Koond'!$H$149)/15.6466</f>
        <v>25044310.101875164</v>
      </c>
      <c r="L15" s="14">
        <f>('[44]Koond'!$H$127-'[44]Koond'!$H$149)/15.6466-K15</f>
        <v>24758270.408906735</v>
      </c>
      <c r="M15" s="14">
        <f>('[24]Koond'!$H$127-'[24]Koond'!$H$149)/15.6466-K15-L15</f>
        <v>19217862.248028338</v>
      </c>
      <c r="N15" s="19">
        <f>('[5]Koond'!$H$127-'[5]Koond'!$H$149)/15.6466-SUM(K15:M15)</f>
        <v>26598289.035956666</v>
      </c>
      <c r="O15" s="14">
        <f>('[7]Koond'!$H$127-'[7]Koond'!$H$148)/15.6466</f>
        <v>27456118.66475784</v>
      </c>
      <c r="P15" s="14">
        <f>('[25]Koond'!$H$127-'[25]Koond'!$H$148)/15.6466-O15</f>
        <v>24969406.72030983</v>
      </c>
      <c r="Q15" s="14">
        <f>('[26]Koond'!$H$127-'[26]Koond'!$H$148)/15.6466-P15-O15</f>
        <v>20436069.69373539</v>
      </c>
      <c r="R15" s="19">
        <f>('[6]Koond'!$H$127-'[6]Koond'!$H$148)/15.6466-SUM(O15:Q15)</f>
        <v>27788397.480602816</v>
      </c>
      <c r="S15" s="14">
        <f>('[9]Koond'!$H$127-'[9]Koond'!$H$148)/15.6466</f>
        <v>32476378.787723858</v>
      </c>
      <c r="T15" s="14">
        <f>('[27]Koond'!$H$127-'[27]Koond'!$H$148)/15.6466-S15</f>
        <v>30336126.24851406</v>
      </c>
      <c r="U15" s="14">
        <f>('[28]Koond'!$H$127-'[28]Koond'!$H$148)/15.6466-T15-S15</f>
        <v>25344018.368207794</v>
      </c>
      <c r="V15" s="19">
        <f>('[8]Koond'!$H$127-'[8]Koond'!$H$148)/15.6466-SUM(S15:U15)</f>
        <v>29702291.78990963</v>
      </c>
      <c r="W15" s="14">
        <f>('[11]Koond'!$H$127-'[11]Koond'!$H$148)/15.6466</f>
        <v>32904410.8592282</v>
      </c>
      <c r="X15" s="14">
        <f>('[29]Koond'!$H$127-'[29]Koond'!$H$148)/15.6466-W15</f>
        <v>28749981.65288309</v>
      </c>
      <c r="Y15" s="14">
        <f>('[30]Koond'!$H$127-'[30]Koond'!$H$148)/15.6466-X15-W15</f>
        <v>28461803.87112853</v>
      </c>
      <c r="Z15" s="19">
        <f>('[10]Koond'!$H$127-'[10]Koond'!$H$148)/15.6466-SUM(W15:Y15)</f>
        <v>61555569.5735815</v>
      </c>
      <c r="AA15" s="19">
        <f>('[13]Koond'!$H$127-'[13]Koond'!$H$148)/15.6466</f>
        <v>36502729.33033374</v>
      </c>
      <c r="AB15" s="19">
        <f>('[31]Koond'!$H$127-'[31]Koond'!$H$148)/15.6466-AA15</f>
        <v>37310217.65942761</v>
      </c>
      <c r="AC15" s="19">
        <f>('[32]Koond'!$H$127-'[32]Koond'!$H$148)/15.6466-AB15-AA15</f>
        <v>33094221.9044393</v>
      </c>
      <c r="AD15" s="19">
        <f>('[12]Koond'!$H$127-'[12]Koond'!$H$148)/15.6466-SUM(AA15:AC15)</f>
        <v>42470365.43668911</v>
      </c>
      <c r="AE15" s="14">
        <f>'[15]Koond'!$H$127-'[15]Koond'!$H$148</f>
        <v>40428933.35000002</v>
      </c>
      <c r="AF15" s="14">
        <f>'[33]Koond'!$H$127-'[33]Koond'!$H$148-AE15</f>
        <v>39048018.90999996</v>
      </c>
      <c r="AG15" s="14">
        <f>'[34]Koond'!$H$127-'[34]Koond'!$H$148-SUM(AE15:AF15)</f>
        <v>34526422.27000004</v>
      </c>
      <c r="AH15" s="19">
        <f>'[14]Koond'!$H$127-'[14]Koond'!$H$148-SUM(AE15:AG15)</f>
        <v>42549474.41700004</v>
      </c>
      <c r="AI15" s="14">
        <f>'[17]Ülevaade Overview'!$AA14</f>
        <v>35480354.81157001</v>
      </c>
      <c r="AJ15" s="14">
        <f>'[35]Ülevaade Overview'!$AA14-AI15</f>
        <v>43530259.636406936</v>
      </c>
      <c r="AK15" s="14">
        <f>'[36]Ülevaade Overview'!$AA14-AJ15-AI15</f>
        <v>36229409.61202303</v>
      </c>
      <c r="AL15" s="14">
        <f>'[18]Ülevaade Overview'!$AA14-SUM(AI15:AK15)</f>
        <v>40889154.51000005</v>
      </c>
      <c r="AM15" s="14">
        <f>'[19]Ülevaade Overview'!$AD14</f>
        <v>42739083.59000001</v>
      </c>
      <c r="AN15" s="14">
        <f>'[37]Ülevaade Overview'!$AD14-AM15</f>
        <v>44885922.12</v>
      </c>
      <c r="AO15" s="14">
        <f>'[38]Ülevaade Overview'!$AD14-AN15-AM15</f>
        <v>34659346.01000001</v>
      </c>
      <c r="AP15" s="14">
        <f>'[18]Ülevaade Overview'!AD14-AO15-AN15-AM15</f>
        <v>41989169.539999925</v>
      </c>
      <c r="AQ15" s="14">
        <f>'[42]Ülevaade Overview'!$AG14</f>
        <v>46417170.08</v>
      </c>
      <c r="AR15" s="14">
        <f>'[45]Ülevaade Overview'!$AG14-AQ15</f>
        <v>43458959.33</v>
      </c>
      <c r="AS15" s="14">
        <f>'[46]Ülevaade Overview'!$AG14-AR15-AQ15</f>
        <v>38869917.269999996</v>
      </c>
      <c r="AT15" s="14">
        <f>'[48]Ülevaade Overview'!$AG14-AS15-AR15-AQ15</f>
        <v>43339664.59000005</v>
      </c>
      <c r="AU15" s="14">
        <f>'[49]Ülevaade Overview'!$AJ14</f>
        <v>46139517.13999999</v>
      </c>
      <c r="AV15" s="14">
        <f>'[50]Ülevaade Overview'!$AJ14-AU15</f>
        <v>44821425.71999999</v>
      </c>
      <c r="AW15" s="14">
        <f>'[51]Ülevaade Overview'!$AJ14-AV15-AU15</f>
        <v>42635910.50000002</v>
      </c>
      <c r="AX15" s="14" t="e">
        <f>#REF!-AW15-AV15-AU15</f>
        <v>#REF!</v>
      </c>
      <c r="AY15" s="14" t="e">
        <f>#REF!</f>
        <v>#REF!</v>
      </c>
      <c r="AZ15" s="14"/>
      <c r="BA15" s="14"/>
      <c r="BB15" s="14"/>
      <c r="BD15" s="13">
        <v>2016</v>
      </c>
      <c r="BE15" s="14" t="e">
        <f>AY3</f>
        <v>#REF!</v>
      </c>
      <c r="BF15" s="14"/>
      <c r="BG15" s="14"/>
      <c r="BH15" s="14"/>
      <c r="BI15" s="14" t="e">
        <f>SUM(BE15:BH15)</f>
        <v>#REF!</v>
      </c>
      <c r="BJ15" s="15"/>
      <c r="BK15" s="13" t="s">
        <v>281</v>
      </c>
      <c r="BL15" s="13"/>
      <c r="BM15" s="13"/>
      <c r="BN15" s="13"/>
      <c r="BO15" s="13"/>
      <c r="BP15" s="13"/>
      <c r="BQ15" s="13"/>
      <c r="BR15" s="13"/>
      <c r="BS15" s="14">
        <f>'[18]Ülevaade Overview'!X11</f>
        <v>48649889.17</v>
      </c>
      <c r="BT15" s="14">
        <f>'[18]Ülevaade Overview'!AA11</f>
        <v>50644423.160000004</v>
      </c>
      <c r="BU15" s="14">
        <f>'[18]Ülevaade Overview'!AD11</f>
        <v>61927526.07999998</v>
      </c>
      <c r="BV15" s="14">
        <f>'[48]Ülevaade kuuliselt'!$BQ15</f>
        <v>57584794.489999995</v>
      </c>
      <c r="BW15" s="14" t="e">
        <f>#REF!</f>
        <v>#REF!</v>
      </c>
    </row>
    <row r="16" spans="1:75" ht="12.75">
      <c r="A16" s="20" t="s">
        <v>223</v>
      </c>
      <c r="B16" s="20" t="s">
        <v>224</v>
      </c>
      <c r="C16" s="14">
        <f>'[2]Koond'!$H$151/15.6466</f>
        <v>72482656.95294824</v>
      </c>
      <c r="D16" s="14">
        <f>'[20]Koond'!$H$151/15.6466-C16</f>
        <v>101187728.60174099</v>
      </c>
      <c r="E16" s="14">
        <f>'[21]Koond'!$H$151/15.6466-D16-C16</f>
        <v>68546735.62690932</v>
      </c>
      <c r="F16" s="14">
        <f>'[1]Koond'!$H$151/15.6466-SUM(C16:E16)</f>
        <v>92884176.65499222</v>
      </c>
      <c r="G16" s="14">
        <f>'[3]Ülevaade Overview (2)'!G17/15.6466*1000</f>
        <v>58237009.32151394</v>
      </c>
      <c r="H16" s="14">
        <f>'[22]Koond'!$H$152/15.6466-G16</f>
        <v>107434268.0141373</v>
      </c>
      <c r="I16" s="14">
        <f>'[23]Koond'!$H$152/15.6466-H16-G16</f>
        <v>97535382.5815193</v>
      </c>
      <c r="J16" s="14">
        <f>'[3]Koond'!$H$152/15.6466-SUM(G16:I16)</f>
        <v>102621170.07848355</v>
      </c>
      <c r="K16" s="14">
        <f>'[43]Ülevaade Overview'!$F17/15.6466*1000</f>
        <v>88969667.03948462</v>
      </c>
      <c r="L16" s="14">
        <f>'[44]Ülevaade Overview'!$F17/15.6466*1000-SUM(K16:K16)</f>
        <v>121109065.91547045</v>
      </c>
      <c r="M16" s="14">
        <f>'[24]Ülevaade Overview'!$F17/15.6466*1000-SUM(K16:L16)</f>
        <v>79208363.47813585</v>
      </c>
      <c r="N16" s="14">
        <f>'[5]Ülevaade Overview'!$F17/15.6466*1000-SUM(K16:M16)</f>
        <v>113240202.77120912</v>
      </c>
      <c r="O16" s="14">
        <f>'[7]Ülevaade Overview'!$G17/15.6466*1000</f>
        <v>104513845.56389247</v>
      </c>
      <c r="P16" s="14">
        <f>'[25]Ülevaade Overview'!$G17/15.6466*1000-SUM(O16:O16)</f>
        <v>139582436.59964478</v>
      </c>
      <c r="Q16" s="14">
        <f>'[26]Ülevaade Overview'!$G17/15.6466*1000-SUM(O16:P16)</f>
        <v>98597138.54894966</v>
      </c>
      <c r="R16" s="14">
        <f>'[6]Ülevaade Overview'!$G17/15.6466*1000-SUM(O16:Q16)</f>
        <v>135318584.50909477</v>
      </c>
      <c r="S16" s="14">
        <f>'[9]Ülevaade Overview'!$Q17/15.6466*1000</f>
        <v>127126607.38307364</v>
      </c>
      <c r="T16" s="14">
        <f>'[27]Ülevaade Overview'!$Q17/15.6466*1000-SUM(S16:S16)</f>
        <v>176103365.1266089</v>
      </c>
      <c r="U16" s="14">
        <f>'[28]Ülevaade Overview'!$Q17/15.6466*1000-SUM(S16:T16)</f>
        <v>112174695.83296067</v>
      </c>
      <c r="V16" s="14">
        <f>'[8]Ülevaade Overview'!$Q17/15.6466*1000-SUM(S16:U16)</f>
        <v>156349960.9570127</v>
      </c>
      <c r="W16" s="14">
        <f>'[11]Ülevaade Overview'!$T17/15.6466*1000</f>
        <v>136902933.46094358</v>
      </c>
      <c r="X16" s="14">
        <f>'[29]Ülevaade Overview'!$T17/15.6466*1000-SUM($W16:W16)</f>
        <v>157874936.4034357</v>
      </c>
      <c r="Y16" s="14">
        <f>'[30]Ülevaade Overview'!$T17/15.6466*1000-SUM($W16:X16)</f>
        <v>124980849.08862007</v>
      </c>
      <c r="Z16" s="14">
        <f>'[10]Ülevaade Overview'!$T17/15.6466*1000-SUM($W16:Y16)</f>
        <v>137390790.71363783</v>
      </c>
      <c r="AA16" s="19">
        <f>'[13]Ülevaade Overview'!$W17/15.6466*1000</f>
        <v>129491264.57505152</v>
      </c>
      <c r="AB16" s="19">
        <f>'[31]Ülevaade Overview'!$W17/15.6466*1000-SUM($AA16:AA16)</f>
        <v>147416601.72561434</v>
      </c>
      <c r="AC16" s="19">
        <f>'[32]Ülevaade Overview'!$W17/15.6466*1000-SUM($AA16:AB16)</f>
        <v>117690165.32153958</v>
      </c>
      <c r="AD16" s="19">
        <f>'[12]Ülevaade Overview'!$W17/15.6466*1000-SUM($AA16:AC16)</f>
        <v>132129365.38736868</v>
      </c>
      <c r="AE16" s="14">
        <f>'[15]Ülevaade Overview'!$Z17</f>
        <v>127638347.52000004</v>
      </c>
      <c r="AF16" s="14">
        <f>'[33]Ülevaade Overview'!$Z17-SUM($AE16:AE16)</f>
        <v>143497826.56699997</v>
      </c>
      <c r="AG16" s="14">
        <f>'[34]Ülevaade Overview'!$Z17-SUM($AE16:AF16)</f>
        <v>120030620.85299993</v>
      </c>
      <c r="AH16" s="14">
        <f>'[14]Ülevaade Overview'!$Z17-SUM($AE16:AG16)</f>
        <v>137493829.8400001</v>
      </c>
      <c r="AI16" s="14">
        <f>'[17]Ülevaade Overview'!$AA15</f>
        <v>129999882.6900001</v>
      </c>
      <c r="AJ16" s="14">
        <f>'[35]Ülevaade Overview'!$AA15-AI16</f>
        <v>139980888.46999997</v>
      </c>
      <c r="AK16" s="14">
        <f>'[36]Ülevaade Overview'!$AA15-AJ16-AI16</f>
        <v>128312748.93000014</v>
      </c>
      <c r="AL16" s="14">
        <f>'[18]Ülevaade Overview'!$AA15-SUM(AI16:AK16)</f>
        <v>141575972.08999974</v>
      </c>
      <c r="AM16" s="14">
        <f>'[19]Ülevaade Overview'!$AD15</f>
        <v>135389304.96000004</v>
      </c>
      <c r="AN16" s="14">
        <f>'[37]Ülevaade Overview'!$AD15-AM16</f>
        <v>162320740.03999984</v>
      </c>
      <c r="AO16" s="14">
        <f>'[38]Ülevaade Overview'!$AD15-AN16-AM16</f>
        <v>126182971.9100002</v>
      </c>
      <c r="AP16" s="14">
        <f>'[18]Ülevaade Overview'!AD15-AO16-AN16-AM16</f>
        <v>161882378.71000016</v>
      </c>
      <c r="AQ16" s="14">
        <f>'[42]Ülevaade Overview'!$AG15</f>
        <v>146461496.26000002</v>
      </c>
      <c r="AR16" s="14">
        <f>'[45]Ülevaade Overview'!$AG15-AQ16</f>
        <v>176470993.14000002</v>
      </c>
      <c r="AS16" s="14">
        <f>'[46]Ülevaade Overview'!$AG15-AR16-AQ16</f>
        <v>135773613.90999994</v>
      </c>
      <c r="AT16" s="14">
        <f>'[48]Ülevaade Overview'!$AG15-AS16-AR16-AQ16</f>
        <v>169298556.0499998</v>
      </c>
      <c r="AU16" s="14">
        <f>'[49]Ülevaade Overview'!$AJ15</f>
        <v>159207624.19</v>
      </c>
      <c r="AV16" s="14">
        <f>'[50]Ülevaade Overview'!$AJ15-AU16</f>
        <v>189607600.43999994</v>
      </c>
      <c r="AW16" s="14">
        <f>'[51]Ülevaade Overview'!$AJ15-AV16-AU16</f>
        <v>147853321.63000005</v>
      </c>
      <c r="AX16" s="14" t="e">
        <f>#REF!-AW16-AV16-AU16</f>
        <v>#REF!</v>
      </c>
      <c r="AY16" s="14" t="e">
        <f>#REF!</f>
        <v>#REF!</v>
      </c>
      <c r="AZ16" s="14"/>
      <c r="BA16" s="14"/>
      <c r="BB16" s="14"/>
      <c r="BD16" s="10" t="s">
        <v>279</v>
      </c>
      <c r="BE16" s="30" t="e">
        <f>BE15/BE14-1</f>
        <v>#REF!</v>
      </c>
      <c r="BF16" s="30">
        <f>BF15/BF14-1</f>
        <v>-1</v>
      </c>
      <c r="BG16" s="30">
        <f>BG15/BG14-1</f>
        <v>-1</v>
      </c>
      <c r="BH16" s="30" t="e">
        <f>BH15/BH14-1</f>
        <v>#REF!</v>
      </c>
      <c r="BK16" s="13" t="s">
        <v>282</v>
      </c>
      <c r="BL16" s="13"/>
      <c r="BM16" s="13"/>
      <c r="BN16" s="13"/>
      <c r="BO16" s="13"/>
      <c r="BP16" s="13"/>
      <c r="BQ16" s="13"/>
      <c r="BR16" s="13"/>
      <c r="BS16" s="14">
        <f>'[18]Ülevaade Overview'!X20</f>
        <v>12097412.589999998</v>
      </c>
      <c r="BT16" s="14">
        <f>'[18]Ülevaade Overview'!AA20</f>
        <v>9929027.849999998</v>
      </c>
      <c r="BU16" s="14">
        <f>'[18]Ülevaade Overview'!AD20</f>
        <v>11923164.829999996</v>
      </c>
      <c r="BV16" s="14">
        <f>'[48]Ülevaade kuuliselt'!$BQ16</f>
        <v>8986204.840000002</v>
      </c>
      <c r="BW16" s="14" t="e">
        <f>#REF!</f>
        <v>#REF!</v>
      </c>
    </row>
    <row r="17" spans="1:75" ht="12.75">
      <c r="A17" s="20" t="s">
        <v>39</v>
      </c>
      <c r="B17" s="20" t="s">
        <v>225</v>
      </c>
      <c r="C17" s="14">
        <f>'[2]Koond'!$H$160/15.6466</f>
        <v>67626041.73831482</v>
      </c>
      <c r="D17" s="14">
        <f>'[20]Koond'!$H$160/15.6466-C17</f>
        <v>71201291.26757784</v>
      </c>
      <c r="E17" s="14">
        <f>'[21]Koond'!$H$160/15.6466-D17-C17</f>
        <v>60820698.4482252</v>
      </c>
      <c r="F17" s="14">
        <f>'[1]Koond'!$H$160/15.6466-SUM(C17:E17)</f>
        <v>81927291.21726122</v>
      </c>
      <c r="G17" s="14">
        <f>'[3]Ülevaade Overview (2)'!G18/15.6466*1000</f>
        <v>45933183.5191032</v>
      </c>
      <c r="H17" s="14">
        <f>'[22]Koond'!$H$161/15.6466-G17</f>
        <v>91045134.21254459</v>
      </c>
      <c r="I17" s="14">
        <f>'[23]Koond'!$H$161/15.6466-H17-G17</f>
        <v>97474504.30125397</v>
      </c>
      <c r="J17" s="14">
        <f>'[3]Koond'!$H$161/15.6466-SUM(G17:I17)</f>
        <v>79866070.56382853</v>
      </c>
      <c r="K17" s="14">
        <f>'[43]Ülevaade Overview'!$F18/15.6466*1000</f>
        <v>82795687.2413176</v>
      </c>
      <c r="L17" s="14">
        <f>'[44]Ülevaade Overview'!$F18/15.6466*1000-SUM(K17:K17)</f>
        <v>88096190.1165748</v>
      </c>
      <c r="M17" s="14">
        <f>'[24]Ülevaade Overview'!$F18/15.6466*1000-SUM(K17:L17)</f>
        <v>78130796.71315181</v>
      </c>
      <c r="N17" s="14">
        <f>'[5]Ülevaade Overview'!$F18/15.6466*1000-SUM(K17:M17)</f>
        <v>114639932.09898627</v>
      </c>
      <c r="O17" s="14">
        <f>'[7]Ülevaade Overview'!$G18/15.6466*1000</f>
        <v>91417068.24549745</v>
      </c>
      <c r="P17" s="14">
        <f>'[25]Ülevaade Overview'!$G18/15.6466*1000-SUM(O17:O17)</f>
        <v>100883064.7571996</v>
      </c>
      <c r="Q17" s="14">
        <f>'[26]Ülevaade Overview'!$G18/15.6466*1000-SUM(O17:P17)</f>
        <v>88663851.07882863</v>
      </c>
      <c r="R17" s="14">
        <f>'[6]Ülevaade Overview'!$G18/15.6466*1000-SUM(O17:Q17)</f>
        <v>126471586.39084536</v>
      </c>
      <c r="S17" s="14">
        <f>'[9]Ülevaade Overview'!$Q18/15.6466*1000</f>
        <v>111329719.33781141</v>
      </c>
      <c r="T17" s="14">
        <f>'[27]Ülevaade Overview'!$Q18/15.6466*1000-SUM(S17:S17)</f>
        <v>113112838.87930936</v>
      </c>
      <c r="U17" s="14">
        <f>'[28]Ülevaade Overview'!$Q18/15.6466*1000-SUM(S17:T17)</f>
        <v>109836594.16039252</v>
      </c>
      <c r="V17" s="14">
        <f>'[8]Ülevaade Overview'!$Q18/15.6466*1000-SUM(S17:U17)</f>
        <v>140164719.0910486</v>
      </c>
      <c r="W17" s="14">
        <f>'[11]Ülevaade Overview'!$T18/15.6466*1000</f>
        <v>111802330.35739392</v>
      </c>
      <c r="X17" s="14">
        <f>'[29]Ülevaade Overview'!$T18/15.6466*1000-SUM($W17:W17)</f>
        <v>101199771.13430399</v>
      </c>
      <c r="Y17" s="14">
        <f>'[30]Ülevaade Overview'!$T18/15.6466*1000-SUM($W17:X17)</f>
        <v>94435604.11654913</v>
      </c>
      <c r="Z17" s="14">
        <f>'[10]Ülevaade Overview'!$T18/15.6466*1000-SUM($W17:Y17)</f>
        <v>81600166.52371776</v>
      </c>
      <c r="AA17" s="19">
        <f>'[13]Ülevaade Overview'!$W18/15.6466*1000</f>
        <v>101667117.18648146</v>
      </c>
      <c r="AB17" s="19">
        <f>'[31]Ülevaade Overview'!$W18/15.6466*1000-SUM($AA17:AA17)</f>
        <v>87449503.38028707</v>
      </c>
      <c r="AC17" s="19">
        <f>'[32]Ülevaade Overview'!$W18/15.6466*1000-SUM($AA17:AB17)</f>
        <v>75685458.30595782</v>
      </c>
      <c r="AD17" s="19">
        <f>'[12]Ülevaade Overview'!$W18/15.6466*1000-SUM($AA17:AC17)</f>
        <v>108025656.00258198</v>
      </c>
      <c r="AE17" s="14">
        <f>'[15]Ülevaade Overview'!$Z18</f>
        <v>111865274.06</v>
      </c>
      <c r="AF17" s="14">
        <f>'[33]Ülevaade Overview'!$Z18-SUM($AE17:AE17)</f>
        <v>94409193.51999995</v>
      </c>
      <c r="AG17" s="14">
        <f>'[34]Ülevaade Overview'!$Z18-SUM($AE17:AF17)</f>
        <v>82445468.57900015</v>
      </c>
      <c r="AH17" s="14">
        <f>'[14]Ülevaade Overview'!$Z18-SUM($AE17:AG17)</f>
        <v>113322882.43499976</v>
      </c>
      <c r="AI17" s="14">
        <f>'[17]Ülevaade Overview'!$AA16</f>
        <v>105617256.88999997</v>
      </c>
      <c r="AJ17" s="14">
        <f>'[35]Ülevaade Overview'!$AA16-AI17</f>
        <v>101777630.65000002</v>
      </c>
      <c r="AK17" s="14">
        <f>'[36]Ülevaade Overview'!$AA16-AJ17-AI17</f>
        <v>90332964.14</v>
      </c>
      <c r="AL17" s="14">
        <f>'[18]Ülevaade Overview'!$AA16-SUM(AI17:AK17)</f>
        <v>119598514.69999993</v>
      </c>
      <c r="AM17" s="14">
        <f>'[19]Ülevaade Overview'!$AD16</f>
        <v>114191294.88</v>
      </c>
      <c r="AN17" s="14">
        <f>'[37]Ülevaade Overview'!$AD16-AM17</f>
        <v>111714633.71000004</v>
      </c>
      <c r="AO17" s="14">
        <f>'[38]Ülevaade Overview'!$AD16-AN17-AM17</f>
        <v>88293381.75999999</v>
      </c>
      <c r="AP17" s="14">
        <f>'[18]Ülevaade Overview'!AD16-AO17-AN17-AM17</f>
        <v>124765446.25999993</v>
      </c>
      <c r="AQ17" s="14">
        <f>'[42]Ülevaade Overview'!$AG16</f>
        <v>111226755.31999996</v>
      </c>
      <c r="AR17" s="14">
        <f>'[45]Ülevaade Overview'!$AG16-AQ17</f>
        <v>113711199.28000006</v>
      </c>
      <c r="AS17" s="14">
        <f>'[46]Ülevaade Overview'!$AG16-AR17-AQ17</f>
        <v>90116418.13</v>
      </c>
      <c r="AT17" s="14">
        <f>'[48]Ülevaade Overview'!$AG16-AS17-AR17-AQ17</f>
        <v>128216584.53000009</v>
      </c>
      <c r="AU17" s="14">
        <f>'[49]Ülevaade Overview'!$AJ16</f>
        <v>118832444.85000001</v>
      </c>
      <c r="AV17" s="14">
        <f>'[50]Ülevaade Overview'!$AJ16-AU17</f>
        <v>117149268.15999998</v>
      </c>
      <c r="AW17" s="14">
        <f>'[51]Ülevaade Overview'!$AJ16-AV17-AU17</f>
        <v>94144342.14000006</v>
      </c>
      <c r="AX17" s="14" t="e">
        <f>#REF!-AW17-AV17-AU17</f>
        <v>#REF!</v>
      </c>
      <c r="AY17" s="14" t="e">
        <f>#REF!</f>
        <v>#REF!</v>
      </c>
      <c r="AZ17" s="14"/>
      <c r="BA17" s="14"/>
      <c r="BB17" s="14"/>
      <c r="BI17" s="15"/>
      <c r="BK17" s="13" t="s">
        <v>283</v>
      </c>
      <c r="BL17" s="13"/>
      <c r="BM17" s="13"/>
      <c r="BN17" s="13"/>
      <c r="BO17" s="13"/>
      <c r="BP17" s="13"/>
      <c r="BQ17" s="13"/>
      <c r="BR17" s="13"/>
      <c r="BS17" s="14">
        <f>'[18]Ülevaade Overview'!X12+'[18]Ülevaade Overview'!X26+'[14]Koond'!$H$223</f>
        <v>34554789.446</v>
      </c>
      <c r="BT17" s="14">
        <f>'[18]Ülevaade Overview'!AA12+'[18]Ülevaade Overview'!AA26+'[41]Koond'!E40+'[41]Koond'!E42+'[41]Koond'!E44</f>
        <v>39652409.070000015</v>
      </c>
      <c r="BU17" s="14">
        <f>'[18]Koond'!E40+'[18]Koond'!E42+'[18]Koond'!E44+'[18]Koond'!E46+'[18]Koond'!E19</f>
        <v>34516132.69</v>
      </c>
      <c r="BV17" s="14">
        <f>'[48]Ülevaade kuuliselt'!$BQ17</f>
        <v>38695930.809999995</v>
      </c>
      <c r="BW17" s="14" t="e">
        <f>#REF!+#REF!+#REF!+#REF!+#REF!</f>
        <v>#REF!</v>
      </c>
    </row>
    <row r="18" spans="1:75" ht="25.5">
      <c r="A18" s="20" t="s">
        <v>41</v>
      </c>
      <c r="B18" s="13" t="s">
        <v>226</v>
      </c>
      <c r="C18" s="14">
        <f>'[2]Koond'!$H$183/15.6466</f>
        <v>438587.52380708914</v>
      </c>
      <c r="D18" s="14">
        <f>'[20]Koond'!$H$183/15.6466-C18</f>
        <v>1373735.7131900862</v>
      </c>
      <c r="E18" s="14">
        <f>'[21]Koond'!$H$183/15.6466-D18-C18</f>
        <v>1016159.4339984402</v>
      </c>
      <c r="F18" s="14">
        <f>'[1]Koond'!$H$183/15.6466-SUM(C18:E18)</f>
        <v>1317041.781601116</v>
      </c>
      <c r="G18" s="14">
        <f>'[4]Koond'!$H$185/15.6466</f>
        <v>66687753.23776413</v>
      </c>
      <c r="H18" s="14">
        <f>'[22]Koond'!$H$185/15.6466-G18</f>
        <v>-63916085.98225814</v>
      </c>
      <c r="I18" s="14">
        <f>'[23]Koond'!$H$185/15.6466-H18-G18</f>
        <v>1965282.451139547</v>
      </c>
      <c r="J18" s="14">
        <f>'[3]Koond'!$H$185/15.6466-SUM(G18:I18)</f>
        <v>-769739.0602431204</v>
      </c>
      <c r="K18" s="14">
        <f>'[43]Koond'!$H$187/15.6466</f>
        <v>410983.0614957883</v>
      </c>
      <c r="L18" s="14">
        <f>'[44]Koond'!$H$187/15.6466-K18</f>
        <v>564130.2385182724</v>
      </c>
      <c r="M18" s="14">
        <f>'[24]Koond'!$H$187/15.6466-L18-K18</f>
        <v>517792.4392519784</v>
      </c>
      <c r="N18" s="19">
        <f>'[5]Koond'!$H$187/15.6466-SUM(K18:M18)</f>
        <v>70429.31691230019</v>
      </c>
      <c r="O18" s="14">
        <f>'[7]Koond'!$H$187/15.6466</f>
        <v>5461297.749670857</v>
      </c>
      <c r="P18" s="14">
        <f>'[25]Koond'!$H$187/15.6466-O18</f>
        <v>6625606.823929799</v>
      </c>
      <c r="Q18" s="14">
        <f>'[26]Koond'!$H$187/15.6466-P18-O18</f>
        <v>8846229.755902238</v>
      </c>
      <c r="R18" s="19">
        <f>'[6]Koond'!$H$187/15.6466-SUM(O18:Q18)</f>
        <v>11333717.127043616</v>
      </c>
      <c r="S18" s="14">
        <f>'[9]Koond'!$H$187/15.6466</f>
        <v>7909459.859650024</v>
      </c>
      <c r="T18" s="14">
        <f>'[27]Koond'!$H$187/15.6466-S18</f>
        <v>9509918.051845115</v>
      </c>
      <c r="U18" s="14">
        <f>'[28]Koond'!$H$187/15.6466-T18-S18</f>
        <v>9606722.757659823</v>
      </c>
      <c r="V18" s="19">
        <f>'[8]Koond'!$H$187/15.6466-SUM(S18:U18)</f>
        <v>9051433.73959839</v>
      </c>
      <c r="W18" s="14">
        <f>'[11]Koond'!$H$187/15.6466</f>
        <v>7875688.125215705</v>
      </c>
      <c r="X18" s="14">
        <f>'[29]Koond'!$H$187/15.6466-W18</f>
        <v>6364885.819283425</v>
      </c>
      <c r="Y18" s="14">
        <f>'[30]Koond'!$H$187/15.6466-X18-W18</f>
        <v>7418758.941878752</v>
      </c>
      <c r="Z18" s="19">
        <f>'[10]Koond'!$H$187/15.6466-SUM(W18:Y18)</f>
        <v>7106528.708473396</v>
      </c>
      <c r="AA18" s="14">
        <f>'[13]Koond'!$H$187/15.6466</f>
        <v>5811140.275842672</v>
      </c>
      <c r="AB18" s="14">
        <f>'[31]Koond'!$H$187/15.6466-AA18</f>
        <v>4365274.607262915</v>
      </c>
      <c r="AC18" s="14">
        <f>'[32]Koond'!$H$187/15.6466-AB18-AA18</f>
        <v>5263303.715184141</v>
      </c>
      <c r="AD18" s="19">
        <f>'[12]Koond'!$H$187/15.6466-SUM(AA18:AC18)</f>
        <v>7251593.723876111</v>
      </c>
      <c r="AE18" s="14">
        <f>'[15]Koond'!$H$187</f>
        <v>5730120.119999999</v>
      </c>
      <c r="AF18" s="14">
        <f>'[33]Koond'!$H$187-AE18</f>
        <v>5169653.790000001</v>
      </c>
      <c r="AG18" s="14">
        <f>'[34]Koond'!$H$187-SUM(AE18:AF18)</f>
        <v>5784939.590000002</v>
      </c>
      <c r="AH18" s="19">
        <f>'[14]Koond'!$H$187-SUM(AE18:AG18)</f>
        <v>8894894.659999998</v>
      </c>
      <c r="AI18" s="14">
        <f>'[17]Ülevaade Overview'!$AA17</f>
        <v>6396267.960000001</v>
      </c>
      <c r="AJ18" s="14">
        <f>'[35]Ülevaade Overview'!$AA17-AI18</f>
        <v>6741561.229570776</v>
      </c>
      <c r="AK18" s="14">
        <f>'[36]Ülevaade Overview'!$AA17-AJ18-AI18</f>
        <v>8449281.109429225</v>
      </c>
      <c r="AL18" s="14">
        <f>'[18]Ülevaade Overview'!$AA17-SUM(AI18:AK18)</f>
        <v>9430088.511000004</v>
      </c>
      <c r="AM18" s="14">
        <f>'[19]Ülevaade Overview'!$AD17</f>
        <v>5569278.240000002</v>
      </c>
      <c r="AN18" s="14">
        <f>'[37]Ülevaade Overview'!$AD17-AM18</f>
        <v>5399023.209999997</v>
      </c>
      <c r="AO18" s="14">
        <f>'[38]Ülevaade Overview'!$AD17-AN18-AM18</f>
        <v>5462653.580000009</v>
      </c>
      <c r="AP18" s="14">
        <f>'[18]Ülevaade Overview'!AD17-AO18-AN18-AM18</f>
        <v>6017913.929999977</v>
      </c>
      <c r="AQ18" s="14">
        <f>'[42]Ülevaade Overview'!$AG17</f>
        <v>5763561.930000001</v>
      </c>
      <c r="AR18" s="14">
        <f>'[45]Ülevaade Overview'!$AG17-AQ18</f>
        <v>5622081.289999993</v>
      </c>
      <c r="AS18" s="14">
        <f>'[46]Ülevaade Overview'!$AG17-AR18-AQ18</f>
        <v>4728492.670000005</v>
      </c>
      <c r="AT18" s="14">
        <f>'[48]Ülevaade Overview'!$AG17-AS18-AR18-AQ18</f>
        <v>10086395.179999996</v>
      </c>
      <c r="AU18" s="14">
        <f>'[49]Ülevaade Overview'!$AJ17</f>
        <v>6348339.23</v>
      </c>
      <c r="AV18" s="14">
        <f>'[50]Ülevaade Overview'!$AJ17-AU18</f>
        <v>5919846.589999998</v>
      </c>
      <c r="AW18" s="14">
        <f>'[51]Ülevaade Overview'!$AJ17-AV18-AU18</f>
        <v>4862270.889999999</v>
      </c>
      <c r="AX18" s="14" t="e">
        <f>#REF!-AW18-AV18-AU18</f>
        <v>#REF!</v>
      </c>
      <c r="AY18" s="14" t="e">
        <f>#REF!</f>
        <v>#REF!</v>
      </c>
      <c r="AZ18" s="14"/>
      <c r="BA18" s="14"/>
      <c r="BB18" s="14"/>
      <c r="BD18" s="33" t="s">
        <v>284</v>
      </c>
      <c r="BE18" s="34" t="s">
        <v>266</v>
      </c>
      <c r="BF18" s="34" t="s">
        <v>267</v>
      </c>
      <c r="BG18" s="34" t="s">
        <v>268</v>
      </c>
      <c r="BH18" s="34" t="s">
        <v>269</v>
      </c>
      <c r="BK18" s="13" t="s">
        <v>196</v>
      </c>
      <c r="BL18" s="13"/>
      <c r="BM18" s="13"/>
      <c r="BN18" s="13"/>
      <c r="BO18" s="13"/>
      <c r="BP18" s="13"/>
      <c r="BQ18" s="13"/>
      <c r="BR18" s="13"/>
      <c r="BS18" s="27">
        <f>SUM(BS9:BS17)</f>
        <v>1327425560.836</v>
      </c>
      <c r="BT18" s="27">
        <f>SUM(BT9:BT17)</f>
        <v>1424894429.52</v>
      </c>
      <c r="BU18" s="27">
        <f>SUM(BU9:BU17)</f>
        <v>1489816933.9499998</v>
      </c>
      <c r="BV18" s="27">
        <f>SUM(BV9:BV17)</f>
        <v>1521085305.1899996</v>
      </c>
      <c r="BW18" s="27" t="e">
        <f>SUM(BW9:BW17)</f>
        <v>#REF!</v>
      </c>
    </row>
    <row r="19" spans="1:75" ht="12.75">
      <c r="A19" s="11" t="s">
        <v>227</v>
      </c>
      <c r="B19" s="11" t="s">
        <v>228</v>
      </c>
      <c r="C19" s="12">
        <f aca="true" t="shared" si="10" ref="C19:AN19">C3-C14</f>
        <v>9589682.649092048</v>
      </c>
      <c r="D19" s="12">
        <f t="shared" si="10"/>
        <v>13218246.615412682</v>
      </c>
      <c r="E19" s="12">
        <f t="shared" si="10"/>
        <v>23565266.048854113</v>
      </c>
      <c r="F19" s="12">
        <f t="shared" si="10"/>
        <v>462351.58756530285</v>
      </c>
      <c r="G19" s="12">
        <f t="shared" si="10"/>
        <v>16205105.484897643</v>
      </c>
      <c r="H19" s="12">
        <f t="shared" si="10"/>
        <v>43487585.31631163</v>
      </c>
      <c r="I19" s="12">
        <f t="shared" si="10"/>
        <v>2597243.8082265556</v>
      </c>
      <c r="J19" s="12">
        <f t="shared" si="10"/>
        <v>17928595.02358347</v>
      </c>
      <c r="K19" s="12">
        <f t="shared" si="10"/>
        <v>35901017.756637275</v>
      </c>
      <c r="L19" s="12">
        <f t="shared" si="10"/>
        <v>32741024.515741438</v>
      </c>
      <c r="M19" s="12">
        <f t="shared" si="10"/>
        <v>53258300.642056435</v>
      </c>
      <c r="N19" s="12">
        <f t="shared" si="10"/>
        <v>-8940657.83326739</v>
      </c>
      <c r="O19" s="12">
        <f t="shared" si="10"/>
        <v>44087807.78571701</v>
      </c>
      <c r="P19" s="12">
        <f t="shared" si="10"/>
        <v>49275594.44919014</v>
      </c>
      <c r="Q19" s="12">
        <f t="shared" si="10"/>
        <v>61323163.832481414</v>
      </c>
      <c r="R19" s="12">
        <f t="shared" si="10"/>
        <v>-14175241.313320458</v>
      </c>
      <c r="S19" s="12">
        <f t="shared" si="10"/>
        <v>46328227.64939344</v>
      </c>
      <c r="T19" s="12">
        <f t="shared" si="10"/>
        <v>41595235.69919348</v>
      </c>
      <c r="U19" s="12">
        <f t="shared" si="10"/>
        <v>66881322.80086386</v>
      </c>
      <c r="V19" s="12">
        <f t="shared" si="10"/>
        <v>-17063112.94440961</v>
      </c>
      <c r="W19" s="12">
        <f t="shared" si="10"/>
        <v>13768334.222131371</v>
      </c>
      <c r="X19" s="12">
        <f t="shared" si="10"/>
        <v>33690210.572484195</v>
      </c>
      <c r="Y19" s="12">
        <f t="shared" si="10"/>
        <v>24807497.975059807</v>
      </c>
      <c r="Z19" s="12">
        <f t="shared" si="10"/>
        <v>-9922906.59421271</v>
      </c>
      <c r="AA19" s="12">
        <f t="shared" si="10"/>
        <v>1482901.7877364755</v>
      </c>
      <c r="AB19" s="12">
        <f t="shared" si="10"/>
        <v>43917423.25668228</v>
      </c>
      <c r="AC19" s="12">
        <f t="shared" si="10"/>
        <v>30301249.628673285</v>
      </c>
      <c r="AD19" s="12">
        <f t="shared" si="10"/>
        <v>11826803.798799515</v>
      </c>
      <c r="AE19" s="12">
        <f t="shared" si="10"/>
        <v>1901476.9209999442</v>
      </c>
      <c r="AF19" s="12">
        <f t="shared" si="10"/>
        <v>55678046.14200014</v>
      </c>
      <c r="AG19" s="12">
        <f t="shared" si="10"/>
        <v>33762635.87799996</v>
      </c>
      <c r="AH19" s="12">
        <f t="shared" si="10"/>
        <v>7742330.074000001</v>
      </c>
      <c r="AI19" s="12">
        <f t="shared" si="10"/>
        <v>36180002.90842992</v>
      </c>
      <c r="AJ19" s="12">
        <f t="shared" si="10"/>
        <v>57460407.53402227</v>
      </c>
      <c r="AK19" s="12">
        <f t="shared" si="10"/>
        <v>23272194.40854764</v>
      </c>
      <c r="AL19" s="12">
        <f t="shared" si="10"/>
        <v>1717509.49900043</v>
      </c>
      <c r="AM19" s="12">
        <f t="shared" si="10"/>
        <v>40701136.4799999</v>
      </c>
      <c r="AN19" s="12">
        <f t="shared" si="10"/>
        <v>46957664.59000009</v>
      </c>
      <c r="AO19" s="12">
        <f aca="true" t="shared" si="11" ref="AO19:AT19">AO3-AO14</f>
        <v>32936034.799999833</v>
      </c>
      <c r="AP19" s="12">
        <f t="shared" si="11"/>
        <v>245363.72000008821</v>
      </c>
      <c r="AQ19" s="12">
        <f t="shared" si="11"/>
        <v>63467682.67000008</v>
      </c>
      <c r="AR19" s="12">
        <f t="shared" si="11"/>
        <v>36814182.18999982</v>
      </c>
      <c r="AS19" s="12">
        <f t="shared" si="11"/>
        <v>35350722.93999994</v>
      </c>
      <c r="AT19" s="12">
        <f t="shared" si="11"/>
        <v>1024942.8200000525</v>
      </c>
      <c r="AU19" s="12">
        <f>AU3-AU14</f>
        <v>75509090.14999998</v>
      </c>
      <c r="AV19" s="12">
        <f>AV3-AV14</f>
        <v>41235220.22000003</v>
      </c>
      <c r="AW19" s="12">
        <f>AW3-AW14</f>
        <v>43890367.27999991</v>
      </c>
      <c r="AX19" s="12" t="e">
        <f>AX3-AX14</f>
        <v>#REF!</v>
      </c>
      <c r="AY19" s="12" t="e">
        <f>AY3-AY14</f>
        <v>#REF!</v>
      </c>
      <c r="AZ19" s="12"/>
      <c r="BA19" s="12"/>
      <c r="BB19" s="12"/>
      <c r="BD19" s="13">
        <v>2004</v>
      </c>
      <c r="BE19" s="36">
        <f>SUM($BE3:BE3)/$BI3</f>
        <v>0.230630534787502</v>
      </c>
      <c r="BF19" s="36">
        <f>SUM($BE3:BF3)/$BI3</f>
        <v>0.5080254032256535</v>
      </c>
      <c r="BG19" s="36">
        <f>SUM($BE3:BG3)/$BI3</f>
        <v>0.7343286842963592</v>
      </c>
      <c r="BH19" s="36">
        <f>SUM($BE3:BH3)/$BI3</f>
        <v>1</v>
      </c>
      <c r="BT19" s="31"/>
      <c r="BU19" s="15">
        <f>'[18]Ülevaade Overview'!AD39-BU18</f>
        <v>0</v>
      </c>
      <c r="BV19" s="15"/>
      <c r="BW19" s="15" t="e">
        <f>#REF!-BW18</f>
        <v>#REF!</v>
      </c>
    </row>
    <row r="20" spans="1:75" ht="12.75">
      <c r="A20" s="11" t="s">
        <v>229</v>
      </c>
      <c r="B20" s="11" t="s">
        <v>230</v>
      </c>
      <c r="C20" s="12">
        <f aca="true" t="shared" si="12" ref="C20:AN20">SUM(C21:C28)</f>
        <v>-11695809.859650018</v>
      </c>
      <c r="D20" s="12">
        <f t="shared" si="12"/>
        <v>-4302491.374483912</v>
      </c>
      <c r="E20" s="12">
        <f t="shared" si="12"/>
        <v>-17774514.797463983</v>
      </c>
      <c r="F20" s="12">
        <f t="shared" si="12"/>
        <v>-19371798.489831656</v>
      </c>
      <c r="G20" s="12">
        <f t="shared" si="12"/>
        <v>-8104895.756905653</v>
      </c>
      <c r="H20" s="12">
        <f t="shared" si="12"/>
        <v>-17354915.084427293</v>
      </c>
      <c r="I20" s="12">
        <f t="shared" si="12"/>
        <v>11742273.216545466</v>
      </c>
      <c r="J20" s="12">
        <f t="shared" si="12"/>
        <v>-87688200.57200927</v>
      </c>
      <c r="K20" s="12">
        <f t="shared" si="12"/>
        <v>2839512.704996619</v>
      </c>
      <c r="L20" s="12">
        <f t="shared" si="12"/>
        <v>56860369.94043444</v>
      </c>
      <c r="M20" s="12">
        <f t="shared" si="12"/>
        <v>-126634714.53223068</v>
      </c>
      <c r="N20" s="12">
        <f t="shared" si="12"/>
        <v>-57917371.276034474</v>
      </c>
      <c r="O20" s="12">
        <f t="shared" si="12"/>
        <v>-6523819.36778597</v>
      </c>
      <c r="P20" s="12">
        <f t="shared" si="12"/>
        <v>-8140488.907494297</v>
      </c>
      <c r="Q20" s="12">
        <f t="shared" si="12"/>
        <v>-70568516.36138202</v>
      </c>
      <c r="R20" s="12">
        <f t="shared" si="12"/>
        <v>-71067228.09556071</v>
      </c>
      <c r="S20" s="12">
        <f t="shared" si="12"/>
        <v>-30059870.98602891</v>
      </c>
      <c r="T20" s="12">
        <f t="shared" si="12"/>
        <v>-47379029.6128232</v>
      </c>
      <c r="U20" s="12">
        <f t="shared" si="12"/>
        <v>-74164576.49962296</v>
      </c>
      <c r="V20" s="12">
        <f t="shared" si="12"/>
        <v>-60569198.436785035</v>
      </c>
      <c r="W20" s="12">
        <f t="shared" si="12"/>
        <v>-28874748.08137232</v>
      </c>
      <c r="X20" s="12">
        <f t="shared" si="12"/>
        <v>-25423162.128513522</v>
      </c>
      <c r="Y20" s="12">
        <f t="shared" si="12"/>
        <v>-50504479.005023524</v>
      </c>
      <c r="Z20" s="12">
        <f t="shared" si="12"/>
        <v>-13179877.202267509</v>
      </c>
      <c r="AA20" s="12">
        <f t="shared" si="12"/>
        <v>-12924149.867063764</v>
      </c>
      <c r="AB20" s="12">
        <f t="shared" si="12"/>
        <v>-4692722.103204539</v>
      </c>
      <c r="AC20" s="12">
        <f t="shared" si="12"/>
        <v>-30254016.960234188</v>
      </c>
      <c r="AD20" s="12">
        <f t="shared" si="12"/>
        <v>-19088156.085028008</v>
      </c>
      <c r="AE20" s="12">
        <f t="shared" si="12"/>
        <v>-610005.6699999976</v>
      </c>
      <c r="AF20" s="12">
        <f t="shared" si="12"/>
        <v>-16836941.610000007</v>
      </c>
      <c r="AG20" s="12">
        <f t="shared" si="12"/>
        <v>-35063927.95999998</v>
      </c>
      <c r="AH20" s="12">
        <f t="shared" si="12"/>
        <v>-20507818.200000025</v>
      </c>
      <c r="AI20" s="12">
        <f t="shared" si="12"/>
        <v>-15214081.629999995</v>
      </c>
      <c r="AJ20" s="12">
        <f t="shared" si="12"/>
        <v>-14773886.286999993</v>
      </c>
      <c r="AK20" s="12">
        <f t="shared" si="12"/>
        <v>-42678522.433000065</v>
      </c>
      <c r="AL20" s="12">
        <f t="shared" si="12"/>
        <v>-47870547.86999996</v>
      </c>
      <c r="AM20" s="12">
        <f t="shared" si="12"/>
        <v>-10592241.410000008</v>
      </c>
      <c r="AN20" s="12">
        <f t="shared" si="12"/>
        <v>-34263347.83999999</v>
      </c>
      <c r="AO20" s="12">
        <f aca="true" t="shared" si="13" ref="AO20:AT20">SUM(AO21:AO28)</f>
        <v>-86202657.68999998</v>
      </c>
      <c r="AP20" s="12">
        <f t="shared" si="13"/>
        <v>-62569181.129999995</v>
      </c>
      <c r="AQ20" s="12">
        <f t="shared" si="13"/>
        <v>-8501062.500000007</v>
      </c>
      <c r="AR20" s="12">
        <f t="shared" si="13"/>
        <v>-15672495.249999993</v>
      </c>
      <c r="AS20" s="12">
        <f t="shared" si="13"/>
        <v>-66563882.960000075</v>
      </c>
      <c r="AT20" s="12">
        <f t="shared" si="13"/>
        <v>-45329754.97</v>
      </c>
      <c r="AU20" s="12">
        <f>SUM(AU21:AU28)</f>
        <v>-18969973.95</v>
      </c>
      <c r="AV20" s="12">
        <f>SUM(AV21:AV28)</f>
        <v>-22519035.489999995</v>
      </c>
      <c r="AW20" s="12">
        <f>SUM(AW21:AW28)</f>
        <v>-54130854.70999995</v>
      </c>
      <c r="AX20" s="12" t="e">
        <f>SUM(AX21:AX28)</f>
        <v>#REF!</v>
      </c>
      <c r="AY20" s="12" t="e">
        <f>SUM(AY21:AY28)</f>
        <v>#REF!</v>
      </c>
      <c r="AZ20" s="12"/>
      <c r="BA20" s="12"/>
      <c r="BB20" s="12"/>
      <c r="BD20" s="13">
        <v>2005</v>
      </c>
      <c r="BE20" s="36">
        <f>SUM($BE4:BE4)/$BI4</f>
        <v>0.23626078023672437</v>
      </c>
      <c r="BF20" s="36">
        <f>SUM($BE4:BF4)/$BI4</f>
        <v>0.4751594894759658</v>
      </c>
      <c r="BG20" s="36">
        <f>SUM($BE4:BG4)/$BI4</f>
        <v>0.7427797746812047</v>
      </c>
      <c r="BH20" s="36">
        <f>SUM($BE4:BH4)/$BI4</f>
        <v>1</v>
      </c>
      <c r="BK20" s="35" t="s">
        <v>285</v>
      </c>
      <c r="BL20" s="34">
        <v>2004</v>
      </c>
      <c r="BM20" s="34">
        <v>2005</v>
      </c>
      <c r="BN20" s="34">
        <v>2006</v>
      </c>
      <c r="BO20" s="34">
        <v>2007</v>
      </c>
      <c r="BP20" s="34">
        <v>2008</v>
      </c>
      <c r="BQ20" s="34">
        <v>2009</v>
      </c>
      <c r="BR20" s="34">
        <v>2010</v>
      </c>
      <c r="BS20" s="34">
        <v>2011</v>
      </c>
      <c r="BT20" s="34">
        <v>2012</v>
      </c>
      <c r="BU20" s="34">
        <v>2013</v>
      </c>
      <c r="BV20" s="34">
        <v>2014</v>
      </c>
      <c r="BW20" s="34">
        <v>2015</v>
      </c>
    </row>
    <row r="21" spans="1:75" ht="12.75">
      <c r="A21" s="13" t="s">
        <v>231</v>
      </c>
      <c r="B21" s="13" t="s">
        <v>232</v>
      </c>
      <c r="C21" s="14">
        <f>'[2]Koond'!$H$101/15.6466</f>
        <v>3305925.3799547506</v>
      </c>
      <c r="D21" s="14">
        <f>'[20]Koond'!$H$101/15.6466-C21</f>
        <v>3471634.038065778</v>
      </c>
      <c r="E21" s="14">
        <f>'[21]Koond'!$H$101/15.6466-D21-C21</f>
        <v>18563162.979177583</v>
      </c>
      <c r="F21" s="14">
        <f>'[1]Koond'!$H$101/15.6466-SUM(C21:E21)</f>
        <v>7860051.431620929</v>
      </c>
      <c r="G21" s="14">
        <f>'[4]Koond'!$H$101/15.6466</f>
        <v>3187138.9963314715</v>
      </c>
      <c r="H21" s="14">
        <f>'[22]Koond'!$H$101/15.6466-G21</f>
        <v>3306970.1698771636</v>
      </c>
      <c r="I21" s="14">
        <f>'[23]Koond'!$H$101/15.6466-H21-G21</f>
        <v>24462308.6261552</v>
      </c>
      <c r="J21" s="14">
        <f>'[3]Koond'!$H$101/15.6466-SUM(G21:I21)</f>
        <v>14281136.13117227</v>
      </c>
      <c r="K21" s="14">
        <f>'[43]Koond'!$H$101/15.6466</f>
        <v>5573566.005394145</v>
      </c>
      <c r="L21" s="14">
        <f>'[44]Koond'!$H$101/15.6466-K21</f>
        <v>76378432.90043844</v>
      </c>
      <c r="M21" s="14">
        <f>'[24]Koond'!$H$101/15.6466-L21-K21</f>
        <v>7042871.446192787</v>
      </c>
      <c r="N21" s="14">
        <f>'[5]Koond'!H101/15.6466-SUM(K21:M21)</f>
        <v>10046760.555008754</v>
      </c>
      <c r="O21" s="14">
        <f>'[7]Koond'!$H$101/15.6466</f>
        <v>4757816.184985874</v>
      </c>
      <c r="P21" s="14">
        <f>'[25]Koond'!$H$101/15.6466-O21</f>
        <v>20905794.65890353</v>
      </c>
      <c r="Q21" s="14">
        <f>'[26]Koond'!$H$101/15.6466-P21-O21</f>
        <v>6227296.951414367</v>
      </c>
      <c r="R21" s="14">
        <f>'[6]Ülevaade Overview'!$G13/15.6466*1000-SUM(O21:Q21)</f>
        <v>4969829.745759457</v>
      </c>
      <c r="S21" s="14">
        <f>'[9]Koond'!$H$101/15.6466</f>
        <v>1688531.6062275511</v>
      </c>
      <c r="T21" s="14">
        <f>'[27]Koond'!$H$101/15.6466-S21</f>
        <v>3589435.3124640496</v>
      </c>
      <c r="U21" s="14">
        <f>'[28]Koond'!$H$101/15.6466-T21-S21</f>
        <v>4161200.9625094268</v>
      </c>
      <c r="V21" s="14">
        <f>'[8]Ülevaade Overview'!$Q13/15.6466*1000-SUM(S21:U21)</f>
        <v>4296577.924916597</v>
      </c>
      <c r="W21" s="14">
        <f>'[11]Koond'!$H$101/15.6466</f>
        <v>1162853.4090473328</v>
      </c>
      <c r="X21" s="14">
        <f>'[29]Koond'!$H$101/15.6466-W21</f>
        <v>3347212.1157312132</v>
      </c>
      <c r="Y21" s="14">
        <f>'[30]Koond'!$H$101/15.6466-X21-W21</f>
        <v>2517624.3560901433</v>
      </c>
      <c r="Z21" s="14">
        <f>'[10]Ülevaade Overview'!T13/15.6466*1000-SUM(W21:Y21)</f>
        <v>4456563.853488938</v>
      </c>
      <c r="AA21" s="19">
        <f>'[13]Koond'!$H$101/15.6466</f>
        <v>1029401.8611072053</v>
      </c>
      <c r="AB21" s="19">
        <f>'[31]Koond'!$H$101/15.6466-AA21</f>
        <v>2352426.925977529</v>
      </c>
      <c r="AC21" s="19">
        <f>'[32]Koond'!$H$101/15.6466-AB21-AA21</f>
        <v>2457042.816969821</v>
      </c>
      <c r="AD21" s="19">
        <f>'[12]Ülevaade Overview'!$W13/15.6466*1000-SUM(AA21:AC21)</f>
        <v>8359311.175590863</v>
      </c>
      <c r="AE21" s="14">
        <f>'[15]Koond'!$H$101</f>
        <v>4005846.3100000005</v>
      </c>
      <c r="AF21" s="14">
        <f>'[33]Koond'!$H$101-AE21</f>
        <v>2495065.919999998</v>
      </c>
      <c r="AG21" s="14">
        <f>'[34]Koond'!$H$101-SUM(AE21:AF21)</f>
        <v>2419169.080000002</v>
      </c>
      <c r="AH21" s="14">
        <f>'[14]Koond'!H101-SUM(AE21:AG21)</f>
        <v>3177331.2799999975</v>
      </c>
      <c r="AI21" s="14">
        <f>'[17]Ülevaade Overview'!$AA20</f>
        <v>2351525.84</v>
      </c>
      <c r="AJ21" s="14">
        <f>'[35]Ülevaade Overview'!$AA20-AI21</f>
        <v>-417238.4199999999</v>
      </c>
      <c r="AK21" s="14">
        <f>'[36]Ülevaade Overview'!$AA20-AJ21-AI21</f>
        <v>5022679.96</v>
      </c>
      <c r="AL21" s="14">
        <f>'[18]Ülevaade Overview'!$AA20-SUM(AI21:AK21)</f>
        <v>2972060.469999998</v>
      </c>
      <c r="AM21" s="14">
        <f>'[19]Ülevaade Overview'!$AD20</f>
        <v>2543810.8300000005</v>
      </c>
      <c r="AN21" s="14">
        <f>'[37]Ülevaade Overview'!$AD20-AM21</f>
        <v>2630669.4999999995</v>
      </c>
      <c r="AO21" s="14">
        <f>'[38]Ülevaade Overview'!$AD20-AN21-AM21</f>
        <v>4394275.279999999</v>
      </c>
      <c r="AP21" s="14">
        <f>'[18]Ülevaade Overview'!AD20-AO21-AN21-AM21</f>
        <v>2354409.2199999965</v>
      </c>
      <c r="AQ21" s="14">
        <f>'[42]Ülevaade Overview'!$AG20</f>
        <v>1349165.65</v>
      </c>
      <c r="AR21" s="14">
        <f>'[45]Ülevaade Overview'!$AG20-AQ21</f>
        <v>1874881.2300000004</v>
      </c>
      <c r="AS21" s="14">
        <f>'[46]Ülevaade Overview'!$AG20-AR21-AQ21</f>
        <v>1532878.7100000004</v>
      </c>
      <c r="AT21" s="14">
        <f>'[48]Ülevaade Overview'!$AG20-AS21-AR21-AQ21</f>
        <v>4229279.25</v>
      </c>
      <c r="AU21" s="14">
        <f>'[49]Ülevaade Overview'!$AJ20</f>
        <v>1497033.3</v>
      </c>
      <c r="AV21" s="14">
        <f>'[50]Ülevaade Overview'!$AJ20-AU21</f>
        <v>3305010.1800000006</v>
      </c>
      <c r="AW21" s="14">
        <f>'[51]Ülevaade Overview'!$AJ20-AV21-AU21</f>
        <v>5335099.0299999975</v>
      </c>
      <c r="AX21" s="14" t="e">
        <f>#REF!-AW21-AV21-AU21</f>
        <v>#REF!</v>
      </c>
      <c r="AY21" s="14" t="e">
        <f>#REF!</f>
        <v>#REF!</v>
      </c>
      <c r="AZ21" s="14"/>
      <c r="BA21" s="14"/>
      <c r="BB21" s="14"/>
      <c r="BD21" s="13">
        <v>2006</v>
      </c>
      <c r="BE21" s="36">
        <f>SUM($BE5:BE5)/$BI5</f>
        <v>0.23877302703054726</v>
      </c>
      <c r="BF21" s="36">
        <f>SUM($BE5:BF5)/$BI5</f>
        <v>0.5125208658874445</v>
      </c>
      <c r="BG21" s="36">
        <f>SUM($BE5:BG5)/$BI5</f>
        <v>0.7484377429004052</v>
      </c>
      <c r="BH21" s="36">
        <f>SUM($BE5:BH5)/$BI5</f>
        <v>1</v>
      </c>
      <c r="BK21" s="13" t="s">
        <v>223</v>
      </c>
      <c r="BL21" s="14"/>
      <c r="BM21" s="14"/>
      <c r="BN21" s="14"/>
      <c r="BO21" s="14"/>
      <c r="BP21" s="14"/>
      <c r="BQ21" s="14"/>
      <c r="BR21" s="14"/>
      <c r="BS21" s="14">
        <f>'[18]Ülevaade Overview'!X15</f>
        <v>528660624.78000003</v>
      </c>
      <c r="BT21" s="14">
        <f>'[18]Ülevaade Overview'!AA15</f>
        <v>539869492.18</v>
      </c>
      <c r="BU21" s="14">
        <f>'[18]Ülevaade Overview'!AD15</f>
        <v>585775395.6200002</v>
      </c>
      <c r="BV21" s="14">
        <f>'[48]Ülevaade kuuliselt'!$BQ21</f>
        <v>628004659.3599998</v>
      </c>
      <c r="BW21" s="14" t="e">
        <f>#REF!</f>
        <v>#REF!</v>
      </c>
    </row>
    <row r="22" spans="1:75" ht="12.75">
      <c r="A22" s="18" t="s">
        <v>233</v>
      </c>
      <c r="B22" s="20" t="s">
        <v>234</v>
      </c>
      <c r="C22" s="14">
        <f>-'[2]Koond'!$H$199/15.6466</f>
        <v>-13103530.820114274</v>
      </c>
      <c r="D22" s="14">
        <f>-'[20]Koond'!$H$199/15.6466-C22</f>
        <v>-22939511.741208952</v>
      </c>
      <c r="E22" s="14">
        <f>-'[21]Koond'!$H$199/15.6466-D22-C22</f>
        <v>-47785455.578208685</v>
      </c>
      <c r="F22" s="14">
        <f>-'[1]Koond'!$H$199/15.6466-SUM(C22:E22)</f>
        <v>-44931397.02369845</v>
      </c>
      <c r="G22" s="14">
        <f>-'[3]Ülevaade Overview (2)'!G19/15.6466*1000</f>
        <v>-9977765.934452213</v>
      </c>
      <c r="H22" s="14">
        <f>-'[22]Koond'!$H$203/15.6466-G22</f>
        <v>-29750758.746948227</v>
      </c>
      <c r="I22" s="14">
        <f>-'[23]Koond'!$H$203/15.6466-H22-G22</f>
        <v>-79927535.48374727</v>
      </c>
      <c r="J22" s="14">
        <f>-'[3]Koond'!$H$203/15.6466-SUM(G22:I22)</f>
        <v>-48732985.4978078</v>
      </c>
      <c r="K22" s="14">
        <f>-'[43]Ülevaade Overview'!$F19/15.6466*1000</f>
        <v>-20075778.90020835</v>
      </c>
      <c r="L22" s="14">
        <f>-'[44]Ülevaade Overview'!$F19/15.6466*1000-SUM(K22:K22)</f>
        <v>-48429386.39896208</v>
      </c>
      <c r="M22" s="14">
        <f>-'[24]Ülevaade Overview'!$F19/15.6466*1000-SUM(K22:L22)</f>
        <v>-93913733.64948297</v>
      </c>
      <c r="N22" s="14">
        <f>-'[5]Ülevaade Overview'!$F19/15.6466*1000-SUM(K22:M22)</f>
        <v>-89121302.23483697</v>
      </c>
      <c r="O22" s="14">
        <f>-'[7]Ülevaade Overview'!$G19/15.6466*1000</f>
        <v>-22606294.097759254</v>
      </c>
      <c r="P22" s="14">
        <f>-'[25]Ülevaade Overview'!$G19/15.6466*1000-SUM(O22:O22)</f>
        <v>-51970018.72100011</v>
      </c>
      <c r="Q22" s="14">
        <f>-'[26]Ülevaade Overview'!$G19/15.6466*1000-SUM(O22:P22)</f>
        <v>-93861342.07112087</v>
      </c>
      <c r="R22" s="14">
        <f>-'[6]Ülevaade Overview'!$G19/15.6466*1000-SUM(O22:Q22)</f>
        <v>-90604665.62767631</v>
      </c>
      <c r="S22" s="14">
        <f>-'[9]Ülevaade Overview'!$Q19/15.6466*1000</f>
        <v>-41978381.197193004</v>
      </c>
      <c r="T22" s="14">
        <f>-'[27]Ülevaade Overview'!$Q19/15.6466*1000-SUM(S22:S22)</f>
        <v>-56428160.69241878</v>
      </c>
      <c r="U22" s="14">
        <f>-'[28]Ülevaade Overview'!$Q19/15.6466*1000-SUM(S22:T22)</f>
        <v>-93849589.83095372</v>
      </c>
      <c r="V22" s="14">
        <f>-'[8]Ülevaade Overview'!$Q19/15.6466*1000-SUM(S22:U22)</f>
        <v>-84726930.65464705</v>
      </c>
      <c r="W22" s="14">
        <f>-'[11]Ülevaade Overview'!$T19/15.6466*1000</f>
        <v>-33478522.239975464</v>
      </c>
      <c r="X22" s="14">
        <f>-'[29]Ülevaade Overview'!$T19/15.6466*1000-SUM($W22:W22)</f>
        <v>-46875406.16108289</v>
      </c>
      <c r="Y22" s="14">
        <f>-'[30]Ülevaade Overview'!$T19/15.6466*1000-SUM($W22:X22)</f>
        <v>-73012173.21718462</v>
      </c>
      <c r="Z22" s="14">
        <f>-'[10]Ülevaade Overview'!$T19/15.6466*1000-SUM($W22:Y22)</f>
        <v>-42841808.433972806</v>
      </c>
      <c r="AA22" s="19">
        <f>-'[13]Ülevaade Overview'!$W19/15.6466*1000</f>
        <v>-30165228.739790108</v>
      </c>
      <c r="AB22" s="19">
        <f>-'[31]Ülevaade Overview'!$W19/15.6466*1000-SUM($AA22:AA22)</f>
        <v>-25171048.188104775</v>
      </c>
      <c r="AC22" s="19">
        <f>-'[32]Ülevaade Overview'!$W19/15.6466*1000-SUM($AA22:AB22)</f>
        <v>-43058563.612542026</v>
      </c>
      <c r="AD22" s="19">
        <f>-'[12]Ülevaade Overview'!$W19/15.6466*1000-SUM($AA22:AC22)</f>
        <v>-37305994.200656965</v>
      </c>
      <c r="AE22" s="14">
        <f>-'[15]Ülevaade Overview'!$Z19</f>
        <v>-18206292.109999996</v>
      </c>
      <c r="AF22" s="14">
        <f>-'[33]Ülevaade Overview'!$Z19-SUM($AE22:AE22)</f>
        <v>-26361673.12000001</v>
      </c>
      <c r="AG22" s="14">
        <f>-'[34]Ülevaade Overview'!$Z19-SUM($AE22:AF22)</f>
        <v>-39318962.649999976</v>
      </c>
      <c r="AH22" s="14">
        <f>-'[14]Ülevaade Overview'!$Z19-SUM($AE22:AG22)</f>
        <v>-53157191.730000034</v>
      </c>
      <c r="AI22" s="14">
        <f>'[17]Ülevaade Overview'!$AA21</f>
        <v>-27623509.269999996</v>
      </c>
      <c r="AJ22" s="14">
        <f>'[35]Ülevaade Overview'!$AA21-AI22</f>
        <v>-36568640.20999999</v>
      </c>
      <c r="AK22" s="14">
        <f>'[36]Ülevaade Overview'!$AA21-AJ22-AI22</f>
        <v>-75095226.60000002</v>
      </c>
      <c r="AL22" s="14">
        <f>'[18]Ülevaade Overview'!$AA21-SUM(AI22:AK22)</f>
        <v>-78318474.81</v>
      </c>
      <c r="AM22" s="14">
        <f>'[19]Ülevaade Overview'!$AD21</f>
        <v>-34690306.64</v>
      </c>
      <c r="AN22" s="14">
        <f>'[37]Ülevaade Overview'!$AD21-AM22</f>
        <v>-56307599.519999996</v>
      </c>
      <c r="AO22" s="14">
        <f>'[38]Ülevaade Overview'!$AD21-AN22-AM22</f>
        <v>-103895403.12999998</v>
      </c>
      <c r="AP22" s="14">
        <f>'[18]Ülevaade Overview'!AD21-AO22-AN22-AM22</f>
        <v>-82744226.64000002</v>
      </c>
      <c r="AQ22" s="14">
        <f>'[42]Ülevaade Overview'!$AG21</f>
        <v>-26801682.470000003</v>
      </c>
      <c r="AR22" s="14">
        <f>'[45]Ülevaade Overview'!$AG21-AQ22</f>
        <v>-34129943.97</v>
      </c>
      <c r="AS22" s="14">
        <f>'[46]Ülevaade Overview'!$AG21-AR22-AQ22</f>
        <v>-68689418.57000005</v>
      </c>
      <c r="AT22" s="14">
        <f>'[48]Ülevaade Overview'!$AG21-AS22-AR22-AQ22</f>
        <v>-64581647.879999965</v>
      </c>
      <c r="AU22" s="14">
        <f>'[49]Ülevaade Overview'!$AJ21</f>
        <v>-24638197.220000003</v>
      </c>
      <c r="AV22" s="14">
        <f>'[50]Ülevaade Overview'!$AJ21-AU22</f>
        <v>-35001040.45999999</v>
      </c>
      <c r="AW22" s="14">
        <f>'[51]Ülevaade Overview'!$AJ21-AV22-AU22</f>
        <v>-65804956.03999995</v>
      </c>
      <c r="AX22" s="14" t="e">
        <f>#REF!-AW22-AV22-AU22</f>
        <v>#REF!</v>
      </c>
      <c r="AY22" s="14" t="e">
        <f>#REF!</f>
        <v>#REF!</v>
      </c>
      <c r="AZ22" s="14"/>
      <c r="BA22" s="14"/>
      <c r="BB22" s="14"/>
      <c r="BD22" s="13">
        <v>2007</v>
      </c>
      <c r="BE22" s="36">
        <f>SUM($BE6:BE6)/$BI6</f>
        <v>0.23551803488283346</v>
      </c>
      <c r="BF22" s="36">
        <f>SUM($BE6:BF6)/$BI6</f>
        <v>0.512800660639148</v>
      </c>
      <c r="BG22" s="36">
        <f>SUM($BE6:BG6)/$BI6</f>
        <v>0.7525730902868336</v>
      </c>
      <c r="BH22" s="36">
        <f>SUM($BE6:BH6)/$BI6</f>
        <v>1</v>
      </c>
      <c r="BK22" s="13" t="s">
        <v>39</v>
      </c>
      <c r="BL22" s="14"/>
      <c r="BM22" s="14"/>
      <c r="BN22" s="14"/>
      <c r="BO22" s="14"/>
      <c r="BP22" s="14"/>
      <c r="BQ22" s="14"/>
      <c r="BR22" s="14"/>
      <c r="BS22" s="14">
        <f>'[18]Ülevaade Overview'!X16</f>
        <v>402042818.59399986</v>
      </c>
      <c r="BT22" s="14">
        <f>'[18]Ülevaade Overview'!AA16</f>
        <v>417326366.37999994</v>
      </c>
      <c r="BU22" s="14">
        <f>'[18]Ülevaade Overview'!AD16</f>
        <v>438964756.60999995</v>
      </c>
      <c r="BV22" s="14">
        <f>'[48]Ülevaade kuuliselt'!$BQ22</f>
        <v>443270957.2600001</v>
      </c>
      <c r="BW22" s="14" t="e">
        <f>#REF!</f>
        <v>#REF!</v>
      </c>
    </row>
    <row r="23" spans="1:75" ht="12.75">
      <c r="A23" s="18" t="s">
        <v>235</v>
      </c>
      <c r="B23" s="13" t="s">
        <v>236</v>
      </c>
      <c r="C23" s="14">
        <f>'[2]Koond'!$H$68/15.6466</f>
        <v>3322519.8669359484</v>
      </c>
      <c r="D23" s="14">
        <f>'[20]Koond'!$H$68/15.6466-C23</f>
        <v>14980957.792747306</v>
      </c>
      <c r="E23" s="14">
        <f>'[21]Koond'!$H$68/15.6466-D23-C23</f>
        <v>13965789.840604356</v>
      </c>
      <c r="F23" s="14">
        <f>'[1]Koond'!$H$68/15.6466-SUM(C23:E23)</f>
        <v>8668099.880485222</v>
      </c>
      <c r="G23" s="14">
        <f>'[4]Koond'!$H$68/15.6466</f>
        <v>2781629.375071901</v>
      </c>
      <c r="H23" s="14">
        <f>'[22]Koond'!$H$68/15.6466-G23</f>
        <v>12313220.286196362</v>
      </c>
      <c r="I23" s="14">
        <f>'[23]Koond'!$H$68/15.6466-H23-G23</f>
        <v>8476696.050899241</v>
      </c>
      <c r="J23" s="14">
        <f>'[3]Koond'!$H$68/15.6466-SUM(G23:I23)</f>
        <v>15789132.198049407</v>
      </c>
      <c r="K23" s="14">
        <f>'[43]Koond'!$H$68/15.6466</f>
        <v>18906221.97090742</v>
      </c>
      <c r="L23" s="14">
        <f>'[44]Koond'!$H$68/15.6466-K23</f>
        <v>11405585.462017309</v>
      </c>
      <c r="M23" s="14">
        <f>'[24]Koond'!$H$68/15.6466-L23-K23</f>
        <v>20217569.301956967</v>
      </c>
      <c r="N23" s="19">
        <f>'[5]Koond'!$H$68/15.6466-SUM(K23:M23)</f>
        <v>23893785.734280944</v>
      </c>
      <c r="O23" s="14">
        <f>'[7]Koond'!$H$68/15.6466</f>
        <v>26475511.752073932</v>
      </c>
      <c r="P23" s="14">
        <f>'[25]Koond'!$H$68/15.6466-O23</f>
        <v>15365863.199033659</v>
      </c>
      <c r="Q23" s="14">
        <f>'[26]Koond'!$H$68/15.6466-P23-O23</f>
        <v>25083467.506678756</v>
      </c>
      <c r="R23" s="19">
        <f>'[6]Koond'!$H$68/15.6466-SUM(O23:Q23)</f>
        <v>13913638.858282313</v>
      </c>
      <c r="S23" s="14">
        <f>'[9]Koond'!$H$68/15.6466</f>
        <v>24571663.24568916</v>
      </c>
      <c r="T23" s="14">
        <f>'[27]Koond'!$H$68/15.6466-S23</f>
        <v>12156249.554535806</v>
      </c>
      <c r="U23" s="14">
        <f>'[28]Koond'!$H$68/15.6466-T23-S23</f>
        <v>32969452.160852857</v>
      </c>
      <c r="V23" s="19">
        <f>'[8]Koond'!$H$68/15.6466-SUM(S23:U23)</f>
        <v>19519894.787365943</v>
      </c>
      <c r="W23" s="14">
        <f>'[11]Koond'!$H$68/15.6466</f>
        <v>10588410.564595502</v>
      </c>
      <c r="X23" s="14">
        <f>'[29]Koond'!$H$68/15.6466-W23</f>
        <v>20433414.320043974</v>
      </c>
      <c r="Y23" s="14">
        <f>'[30]Koond'!$H$68/15.6466-X23-W23</f>
        <v>17429753.07478941</v>
      </c>
      <c r="Z23" s="19">
        <f>'[10]Koond'!$H$68/15.6466-SUM(W23:Y23)</f>
        <v>32976519.571025006</v>
      </c>
      <c r="AA23" s="19">
        <f>'[13]Koond'!$H$68/15.6466</f>
        <v>24560117.441488888</v>
      </c>
      <c r="AB23" s="19">
        <f>'[31]Koond'!$H$68/15.6466-AA23</f>
        <v>15332205.485536795</v>
      </c>
      <c r="AC23" s="19">
        <f>'[32]Koond'!$H$68/15.6466-AB23-AA23</f>
        <v>20612735.767514978</v>
      </c>
      <c r="AD23" s="19">
        <f>'[12]Koond'!$H$68/15.6466-SUM(AA23:AC23)</f>
        <v>23510895.09733744</v>
      </c>
      <c r="AE23" s="14">
        <f>'[15]Koond'!$H$68</f>
        <v>23210613.099999998</v>
      </c>
      <c r="AF23" s="14">
        <f>'[33]Koond'!$H$68-AE23</f>
        <v>10167156.660000004</v>
      </c>
      <c r="AG23" s="14">
        <f>'[34]Koond'!$H$68-SUM(AE23:AF23)</f>
        <v>20099432.640000004</v>
      </c>
      <c r="AH23" s="14">
        <f>'[14]Koond'!$H$68-SUM(AE23:AG23)</f>
        <v>38673453.67</v>
      </c>
      <c r="AI23" s="14">
        <f>'[17]Ülevaade Overview'!$AA22</f>
        <v>22640118.23</v>
      </c>
      <c r="AJ23" s="14">
        <f>'[35]Ülevaade Overview'!$AA22-AI23</f>
        <v>30163427.863</v>
      </c>
      <c r="AK23" s="14">
        <f>'[36]Ülevaade Overview'!$AA22-AJ23-AI23</f>
        <v>43224754.86699997</v>
      </c>
      <c r="AL23" s="14">
        <f>'[18]Ülevaade Overview'!$AA22-SUM(AI23:AK23)</f>
        <v>42301730.23000005</v>
      </c>
      <c r="AM23" s="14">
        <f>'[19]Ülevaade Overview'!$AD22</f>
        <v>31067107.429999992</v>
      </c>
      <c r="AN23" s="14">
        <f>'[37]Ülevaade Overview'!$AD22-AM23</f>
        <v>28652588.540000007</v>
      </c>
      <c r="AO23" s="14">
        <f>'[38]Ülevaade Overview'!$AD22-AN23-AM23</f>
        <v>39462567.629999995</v>
      </c>
      <c r="AP23" s="14">
        <f>'[18]Ülevaade Overview'!AD22-AO23-AN23-AM23</f>
        <v>33629140.160000056</v>
      </c>
      <c r="AQ23" s="14">
        <f>'[42]Ülevaade Overview'!$AG22</f>
        <v>28071022.179999996</v>
      </c>
      <c r="AR23" s="14">
        <f>'[45]Ülevaade Overview'!$AG22-AQ23</f>
        <v>10283843.650000002</v>
      </c>
      <c r="AS23" s="14">
        <f>'[46]Ülevaade Overview'!$AG22-AR23-AQ23</f>
        <v>19846606.7</v>
      </c>
      <c r="AT23" s="14">
        <f>'[48]Ülevaade Overview'!$AG22-AS23-AR23-AQ23</f>
        <v>27468620.819999974</v>
      </c>
      <c r="AU23" s="14">
        <f>'[49]Ülevaade Overview'!$AJ22</f>
        <v>14638677.59</v>
      </c>
      <c r="AV23" s="14">
        <f>'[50]Ülevaade Overview'!$AJ22-AU23</f>
        <v>13634207.889999997</v>
      </c>
      <c r="AW23" s="14">
        <f>'[51]Ülevaade Overview'!$AJ22-AV23-AU23</f>
        <v>15062747.689999998</v>
      </c>
      <c r="AX23" s="14" t="e">
        <f>#REF!-AW23-AV23-AU23</f>
        <v>#REF!</v>
      </c>
      <c r="AY23" s="14" t="e">
        <f>#REF!</f>
        <v>#REF!</v>
      </c>
      <c r="AZ23" s="14"/>
      <c r="BA23" s="14"/>
      <c r="BB23" s="14"/>
      <c r="BD23" s="37">
        <v>2008</v>
      </c>
      <c r="BE23" s="36">
        <f>SUM($BE7:BE7)/$BI7</f>
        <v>0.24304962923515355</v>
      </c>
      <c r="BF23" s="36">
        <f>SUM($BE7:BF7)/$BI7</f>
        <v>0.5200987271703212</v>
      </c>
      <c r="BG23" s="36">
        <f>SUM($BE7:BG7)/$BI7</f>
        <v>0.7621564568735059</v>
      </c>
      <c r="BH23" s="36">
        <f>SUM($BE7:BH7)/$BI7</f>
        <v>1</v>
      </c>
      <c r="BK23" s="13" t="s">
        <v>233</v>
      </c>
      <c r="BL23" s="14"/>
      <c r="BM23" s="14"/>
      <c r="BN23" s="14"/>
      <c r="BO23" s="14"/>
      <c r="BP23" s="14"/>
      <c r="BQ23" s="14"/>
      <c r="BR23" s="14"/>
      <c r="BS23" s="14">
        <f>-'[18]Ülevaade Overview'!X21</f>
        <v>137044119.61</v>
      </c>
      <c r="BT23" s="14">
        <f>-'[18]Ülevaade Overview'!AA21</f>
        <v>217605850.89000002</v>
      </c>
      <c r="BU23" s="14">
        <f>-'[18]Ülevaade Overview'!AD21</f>
        <v>277637535.93</v>
      </c>
      <c r="BV23" s="14">
        <f>'[48]Ülevaade kuuliselt'!$BQ23</f>
        <v>194202692.89000002</v>
      </c>
      <c r="BW23" s="14" t="e">
        <f>-#REF!</f>
        <v>#REF!</v>
      </c>
    </row>
    <row r="24" spans="1:75" ht="12.75">
      <c r="A24" s="18" t="s">
        <v>237</v>
      </c>
      <c r="B24" s="13" t="s">
        <v>238</v>
      </c>
      <c r="C24" s="14">
        <f>-'[2]Koond'!$H$147/15.6466</f>
        <v>-219558.1787736633</v>
      </c>
      <c r="D24" s="14">
        <f>-'[20]Koond'!$H$147/15.6466-C24</f>
        <v>-614765.786816305</v>
      </c>
      <c r="E24" s="14">
        <f>-'[21]Koond'!$H$147/15.6466-D24-C24</f>
        <v>-779752.9412140662</v>
      </c>
      <c r="F24" s="14">
        <f>-'[1]Koond'!$H$147/15.6466-SUM(C24:E24)</f>
        <v>-563187.9200593098</v>
      </c>
      <c r="G24" s="14">
        <f>-'[4]Koond'!$H$147/15.6466</f>
        <v>-1396215.3023660094</v>
      </c>
      <c r="H24" s="14">
        <f>-'[22]Koond'!$H$147/15.6466-G24</f>
        <v>-2678489.284573006</v>
      </c>
      <c r="I24" s="14">
        <f>-'[23]Koond'!$H$147/15.6466-H24-G24</f>
        <v>-2630749.7130366983</v>
      </c>
      <c r="J24" s="14">
        <f>-'[3]Koond'!$H$147/15.6466-SUM(G24:I24)</f>
        <v>-7552701.538992498</v>
      </c>
      <c r="K24" s="14">
        <f>-'[43]Koond'!$H$149/15.6466</f>
        <v>-4231853.311901627</v>
      </c>
      <c r="L24" s="14">
        <f>-'[44]Koond'!$H$149/15.6466-K24</f>
        <v>-3651915.137473955</v>
      </c>
      <c r="M24" s="14">
        <f>-'[24]Koond'!$H$149/15.6466-K24-L24</f>
        <v>-3911952.870272138</v>
      </c>
      <c r="N24" s="19">
        <f>-'[5]Koond'!$H$149/15.6466-SUM(K24:M24)</f>
        <v>-4932567.698413713</v>
      </c>
      <c r="O24" s="14">
        <f>-'[7]Koond'!$H$148/15.6466</f>
        <v>-1809531.5346465048</v>
      </c>
      <c r="P24" s="14">
        <f>-'[25]Koond'!$H$148/15.6466-O24</f>
        <v>-3911689.566423376</v>
      </c>
      <c r="Q24" s="14">
        <f>-'[26]Koond'!$H$148/15.6466-P24-O24</f>
        <v>-3628206.10484067</v>
      </c>
      <c r="R24" s="19">
        <f>-'[6]Koond'!$H$148/15.6466-SUM(O24:Q24)</f>
        <v>-5445643.766696919</v>
      </c>
      <c r="S24" s="14">
        <f>-'[9]Koond'!$H$148/15.6466</f>
        <v>-2314492.187440083</v>
      </c>
      <c r="T24" s="14">
        <f>-'[27]Koond'!$H$148/15.6466-S24</f>
        <v>-7800184.340367878</v>
      </c>
      <c r="U24" s="14">
        <f>-'[28]Koond'!$H$148/15.6466-T24-S24</f>
        <v>-6510192.099881126</v>
      </c>
      <c r="V24" s="19">
        <f>-'[8]Koond'!$H$148/15.6466-SUM(S24:U24)</f>
        <v>-7042296.26500326</v>
      </c>
      <c r="W24" s="14">
        <f>-'[11]Koond'!$H$148/15.6466</f>
        <v>-5364146.235603901</v>
      </c>
      <c r="X24" s="14">
        <f>-'[29]Koond'!$H$148/15.6466-W24</f>
        <v>-5952656.835989926</v>
      </c>
      <c r="Y24" s="14">
        <f>-'[30]Koond'!$H$148/15.6466-X24-W24</f>
        <v>-4367988.333567683</v>
      </c>
      <c r="Z24" s="19">
        <f>-'[10]Koond'!$H$148/15.6466-SUM(W24:Y24)</f>
        <v>-4148177.998414984</v>
      </c>
      <c r="AA24" s="19">
        <f>-'[13]Koond'!$H$148/15.6466</f>
        <v>-7038683.243643986</v>
      </c>
      <c r="AB24" s="19">
        <f>-'[31]Koond'!$H$148/15.6466-AA24</f>
        <v>-3860456.3719913606</v>
      </c>
      <c r="AC24" s="19">
        <f>-'[32]Koond'!$H$148/15.6466-AB24-AA24</f>
        <v>-5354904.475093627</v>
      </c>
      <c r="AD24" s="19">
        <f>-'[12]Koond'!$H$148/15.6466-SUM(AA24:AC24)</f>
        <v>-8408821.200132934</v>
      </c>
      <c r="AE24" s="14">
        <f>-'[15]Koond'!$H$148</f>
        <v>-5901944.14</v>
      </c>
      <c r="AF24" s="14">
        <f>-'[33]Koond'!$H$148-AE24</f>
        <v>-4726309.44</v>
      </c>
      <c r="AG24" s="14">
        <f>-'[34]Koond'!$H$148-SUM(AE24:AF24)</f>
        <v>-8627118.94</v>
      </c>
      <c r="AH24" s="14">
        <f>-'[14]Koond'!$H$148-SUM(AE24:AG24)</f>
        <v>-9907640.739999995</v>
      </c>
      <c r="AI24" s="14">
        <f>'[17]Ülevaade Overview'!$AA23</f>
        <v>-7060577.1099999985</v>
      </c>
      <c r="AJ24" s="14">
        <f>'[35]Ülevaade Overview'!$AA23-AI24</f>
        <v>-10248456.79</v>
      </c>
      <c r="AK24" s="14">
        <f>'[36]Ülevaade Overview'!$AA23-AJ24-AI24</f>
        <v>-15315298.759999998</v>
      </c>
      <c r="AL24" s="14">
        <f>'[18]Ülevaade Overview'!$AA23-SUM(AI24:AK24)</f>
        <v>-9865020.670000002</v>
      </c>
      <c r="AM24" s="14">
        <f>'[19]Ülevaade Overview'!$AD23</f>
        <v>-4282327.2</v>
      </c>
      <c r="AN24" s="14">
        <f>'[37]Ülevaade Overview'!$AD23-AM24</f>
        <v>-7874820.349999997</v>
      </c>
      <c r="AO24" s="14">
        <f>'[38]Ülevaade Overview'!$AD23-AN24-AM24</f>
        <v>-15567179.819999997</v>
      </c>
      <c r="AP24" s="14">
        <f>'[18]Ülevaade Overview'!AD23-AO24-AN24-AM24</f>
        <v>-14910690.430000018</v>
      </c>
      <c r="AQ24" s="14">
        <f>'[42]Ülevaade Overview'!$AG23</f>
        <v>-4888564.84</v>
      </c>
      <c r="AR24" s="14">
        <f>'[45]Ülevaade Overview'!$AG23-AQ24</f>
        <v>-8343742.779999999</v>
      </c>
      <c r="AS24" s="14">
        <f>'[46]Ülevaade Overview'!$AG23-AR24-AQ24</f>
        <v>-12180757.620000001</v>
      </c>
      <c r="AT24" s="14">
        <f>'[48]Ülevaade Overview'!$AG23-AS24-AR24-AQ24</f>
        <v>-8053331.110000001</v>
      </c>
      <c r="AU24" s="14">
        <f>'[49]Ülevaade Overview'!$AJ23</f>
        <v>-9418597.27</v>
      </c>
      <c r="AV24" s="14">
        <f>'[50]Ülevaade Overview'!$AJ23-AU24</f>
        <v>-4994352.120000001</v>
      </c>
      <c r="AW24" s="14">
        <f>'[51]Ülevaade Overview'!$AJ23-AV24-AU24</f>
        <v>-6076915.080000002</v>
      </c>
      <c r="AX24" s="14" t="e">
        <f>#REF!-AW24-AV24-AU24</f>
        <v>#REF!</v>
      </c>
      <c r="AY24" s="14" t="e">
        <f>#REF!</f>
        <v>#REF!</v>
      </c>
      <c r="AZ24" s="14"/>
      <c r="BA24" s="14"/>
      <c r="BB24" s="14"/>
      <c r="BD24" s="13">
        <v>2009</v>
      </c>
      <c r="BE24" s="36">
        <f>SUM($BE8:BE8)/$BI8</f>
        <v>0.25505619992099976</v>
      </c>
      <c r="BF24" s="36">
        <f>SUM($BE8:BF8)/$BI8</f>
        <v>0.5308245515090977</v>
      </c>
      <c r="BG24" s="36">
        <f>SUM($BE8:BG8)/$BI8</f>
        <v>0.7664107739384463</v>
      </c>
      <c r="BH24" s="36">
        <f>SUM($BE8:BH8)/$BI8</f>
        <v>1</v>
      </c>
      <c r="BK24" s="13" t="s">
        <v>286</v>
      </c>
      <c r="BL24" s="14"/>
      <c r="BM24" s="14"/>
      <c r="BN24" s="14"/>
      <c r="BO24" s="14"/>
      <c r="BP24" s="14"/>
      <c r="BQ24" s="14"/>
      <c r="BR24" s="14"/>
      <c r="BS24" s="14">
        <f>-'[18]Ülevaade Overview'!X23</f>
        <v>29163013.259999994</v>
      </c>
      <c r="BT24" s="14">
        <f>-'[18]Ülevaade Overview'!AA23</f>
        <v>42489353.33</v>
      </c>
      <c r="BU24" s="14">
        <f>-'[18]Ülevaade Overview'!AD23</f>
        <v>42635017.80000001</v>
      </c>
      <c r="BV24" s="14">
        <f>'[48]Ülevaade kuuliselt'!$BQ24</f>
        <v>33466396.35</v>
      </c>
      <c r="BW24" s="14" t="e">
        <f>-#REF!</f>
        <v>#REF!</v>
      </c>
    </row>
    <row r="25" spans="1:75" ht="25.5">
      <c r="A25" s="18" t="s">
        <v>239</v>
      </c>
      <c r="B25" s="21" t="s">
        <v>240</v>
      </c>
      <c r="C25" s="14">
        <f>('[2]Koond'!$H$212+'[2]Koond'!$H$217)/15.6466-C26</f>
        <v>-2915990.147380262</v>
      </c>
      <c r="D25" s="14">
        <f>('[20]Koond'!$H$212+'[20]Koond'!$H$217)/15.6466-C25-C26-D26</f>
        <v>-484942.3299630593</v>
      </c>
      <c r="E25" s="14">
        <f>('[21]Koond'!$H$212+'[21]Koond'!$H$217)/15.6466-E26-SUM(C25:D26)</f>
        <v>-918762.2186289658</v>
      </c>
      <c r="F25" s="14">
        <f>('[1]Koond'!$H$212+'[1]Koond'!$H$217)/15.6466-F26-SUM(C25:E26)</f>
        <v>11573178.286656527</v>
      </c>
      <c r="G25" s="14">
        <f>('[4]Koond'!$H$216+'[4]Koond'!$H$221)/15.6466-G26</f>
        <v>-1476684.2834865083</v>
      </c>
      <c r="H25" s="14">
        <f>('[22]Koond'!$H$216+'[22]Koond'!$H$221)/15.6466-H26-G26-G25</f>
        <v>832029.3744327857</v>
      </c>
      <c r="I25" s="14">
        <f>('[23]Koond'!$H$216+'[23]Koond'!$H$221)/15.6466-I26-SUM(G25:H26)</f>
        <v>62417421.38931145</v>
      </c>
      <c r="J25" s="14">
        <f>('[3]Koond'!$H$216+'[3]Koond'!$H$221)/15.6466-SUM(G25:I26)-J26</f>
        <v>-60727210.1210487</v>
      </c>
      <c r="K25" s="14">
        <f>('[43]Koond'!$H$218+'[43]Koond'!$H$223)/15.6466-K26</f>
        <v>4294442.784374879</v>
      </c>
      <c r="L25" s="14">
        <f>('[44]Koond'!$H$218+'[44]Koond'!$H$223)/15.6466-K25-K26-L26</f>
        <v>18739400.75990958</v>
      </c>
      <c r="M25" s="14">
        <f>('[24]Koond'!$H$218+'[24]Koond'!$H$223)/15.6466-M26-SUM(K25:L26)</f>
        <v>-54850627.238505505</v>
      </c>
      <c r="N25" s="19">
        <f>('[5]Koond'!$H$218+'[5]Koond'!$H$223)/15.6466-N26-SUM(K25:M26)</f>
        <v>2854980.827783603</v>
      </c>
      <c r="O25" s="14">
        <f>('[7]Koond'!$H$218+'[7]Koond'!$H$223)/15.6466-O26</f>
        <v>-11504941.327189293</v>
      </c>
      <c r="P25" s="14">
        <f>('[25]Koond'!$H$218+'[25]Koond'!$H$223)/15.6466-P26-O25-O26</f>
        <v>7722319.27894878</v>
      </c>
      <c r="Q25" s="14">
        <f>('[26]Koond'!$H$218+'[26]Koond'!$H$223)/15.6466-SUM(O25:P26)-Q26</f>
        <v>-2939192.811217768</v>
      </c>
      <c r="R25" s="19">
        <f>('[6]Koond'!$H$218+'[6]Koond'!$H$223)/15.6466-R26-SUM(O25:Q26)</f>
        <v>7700375.750642304</v>
      </c>
      <c r="S25" s="14">
        <f>('[9]Koond'!$H$218+'[9]Koond'!$H$223)/15.6466-S26</f>
        <v>-9298050.710697532</v>
      </c>
      <c r="T25" s="14">
        <f>('[27]Koond'!$H$218+'[27]Koond'!$H$223)/15.6466-T26-S25-S26</f>
        <v>-3304407.342809294</v>
      </c>
      <c r="U25" s="14">
        <f>('[28]Koond'!$H$218+'[28]Koond'!$H$223)/15.6466-U26-SUM(S25:T26)</f>
        <v>-8377582.1437245235</v>
      </c>
      <c r="V25" s="19">
        <f>('[8]Koond'!$H$218+'[8]Koond'!$H$223)/15.6466-V26-SUM(S25:U26)</f>
        <v>9781574.115143219</v>
      </c>
      <c r="W25" s="14">
        <f>('[11]Koond'!$H$218+'[11]Koond'!$H$223)/15.6466-W26</f>
        <v>1939201.3383099204</v>
      </c>
      <c r="X25" s="14">
        <f>('[29]Koond'!$H$218+'[29]Koond'!$H$223)/15.6466-X26-W26-W25</f>
        <v>980408.4216379281</v>
      </c>
      <c r="Y25" s="14">
        <f>('[30]Koond'!$H$218+'[30]Koond'!$H$223)/15.6466-SUM(W25:X26)-Y26</f>
        <v>9321574.538238337</v>
      </c>
      <c r="Z25" s="19">
        <f>('[10]Koond'!$H$218+'[10]Koond'!$H$223)/15.6466-Z26-SUM(W25:Y26)</f>
        <v>-1411887.5238070898</v>
      </c>
      <c r="AA25" s="19">
        <f>('[13]Koond'!$H$218+'[13]Koond'!$H$223)/15.6466-AA26</f>
        <v>1404485.3923536106</v>
      </c>
      <c r="AB25" s="19">
        <f>('[31]Koond'!$H$218+'[31]Koond'!$H$223)/15.6466-AA25-AB26-AA26</f>
        <v>23317.398028964322</v>
      </c>
      <c r="AC25" s="19">
        <f>('[32]Koond'!$H$218+'[32]Koond'!$H$223)/15.6466-AB25-AA25-AC26-AB26-AA26</f>
        <v>-711946.4247823802</v>
      </c>
      <c r="AD25" s="19">
        <f>('[12]Koond'!$H$218+'[12]Koond'!$H$223)/15.6466-AD26-SUM(AA25:AC26)</f>
        <v>-872528.7046387069</v>
      </c>
      <c r="AE25" s="14">
        <f>'[15]Koond'!$H$218+'[15]Koond'!$H$223-AE26</f>
        <v>728925.4300000006</v>
      </c>
      <c r="AF25" s="14">
        <f>'[33]Koond'!$H$218+'[33]Koond'!$H$223-AE25-AF26-AE26</f>
        <v>-642806.5799999987</v>
      </c>
      <c r="AG25" s="14">
        <f>'[34]Koond'!$H$218+'[34]Koond'!$H$223-SUM(AE25:AF25)-AG26-AF26-AE26</f>
        <v>-5821599.610000004</v>
      </c>
      <c r="AH25" s="14">
        <f>'[14]Koond'!$H$220+'[14]Koond'!$H$221+'[14]Koond'!$H$225+'[14]Koond'!$H$226+'[14]Koond'!$H$219+'[14]Koond'!$H$224-SUM(AE25:AG25)</f>
        <v>4162601.9000000027</v>
      </c>
      <c r="AI25" s="14">
        <f>'[17]Ülevaade Overview'!$AA24</f>
        <v>-221353.63</v>
      </c>
      <c r="AJ25" s="14">
        <f>'[35]Ülevaade Overview'!$AA24-AI25</f>
        <v>-473960</v>
      </c>
      <c r="AK25" s="14">
        <f>'[36]Ülevaade Overview'!$AA24-AJ25-AI25</f>
        <v>2765583.5100000002</v>
      </c>
      <c r="AL25" s="14">
        <f>'[18]Ülevaade Overview'!$AA24-SUM(AI25:AK25)</f>
        <v>-2263035.89</v>
      </c>
      <c r="AM25" s="14">
        <f>'[19]Ülevaade Overview'!$AD24</f>
        <v>-1794264</v>
      </c>
      <c r="AN25" s="14">
        <f>'[37]Ülevaade Overview'!$AD24-AM25</f>
        <v>-4035166.8</v>
      </c>
      <c r="AO25" s="14">
        <f>'[38]Ülevaade Overview'!$AD24-AN25-AM25</f>
        <v>-5323010.3</v>
      </c>
      <c r="AP25" s="14">
        <f>'[18]Ülevaade Overview'!AD24-AO25-AN25-AM25</f>
        <v>8335599.800000001</v>
      </c>
      <c r="AQ25" s="14">
        <f>'[42]Ülevaade Overview'!$AG24</f>
        <v>-1861032.6099999999</v>
      </c>
      <c r="AR25" s="14">
        <f>'[45]Ülevaade Overview'!$AG24-AQ25</f>
        <v>-1130682.12</v>
      </c>
      <c r="AS25" s="14">
        <f>'[46]Ülevaade Overview'!$AG24-AR25-AQ25</f>
        <v>-2732712.5499999993</v>
      </c>
      <c r="AT25" s="14">
        <f>'[48]Ülevaade Overview'!$AG24-AS25-AR25-AQ25</f>
        <v>-1548052.3200000008</v>
      </c>
      <c r="AU25" s="14">
        <f>'[49]Ülevaade Overview'!$AJ24</f>
        <v>2123897.3</v>
      </c>
      <c r="AV25" s="14">
        <f>'[50]Ülevaade Overview'!$AJ24-AU25</f>
        <v>-2369459</v>
      </c>
      <c r="AW25" s="14">
        <f>'[51]Ülevaade Overview'!$AJ24-AV25-AU25</f>
        <v>-1792207.4800000004</v>
      </c>
      <c r="AX25" s="14" t="e">
        <f>#REF!-AW25-AV25-AU25</f>
        <v>#REF!</v>
      </c>
      <c r="AY25" s="14" t="e">
        <f>#REF!</f>
        <v>#REF!</v>
      </c>
      <c r="AZ25" s="14"/>
      <c r="BA25" s="14"/>
      <c r="BB25" s="14"/>
      <c r="BD25" s="13">
        <v>2010</v>
      </c>
      <c r="BE25" s="36">
        <f>SUM($BE9:BE9)/$BI9</f>
        <v>0.23720363547784623</v>
      </c>
      <c r="BF25" s="36">
        <f>SUM($BE9:BF9)/$BI9</f>
        <v>0.5136634284389165</v>
      </c>
      <c r="BG25" s="36">
        <f>SUM($BE9:BG9)/$BI9</f>
        <v>0.7397203374303652</v>
      </c>
      <c r="BH25" s="36">
        <f>SUM($BE9:BH9)/$BI9</f>
        <v>1</v>
      </c>
      <c r="BK25" s="13" t="s">
        <v>28</v>
      </c>
      <c r="BL25" s="14"/>
      <c r="BM25" s="14"/>
      <c r="BN25" s="14"/>
      <c r="BO25" s="14"/>
      <c r="BP25" s="14"/>
      <c r="BQ25" s="14"/>
      <c r="BR25" s="14"/>
      <c r="BS25" s="14">
        <f>'[18]Ülevaade Overview'!X14</f>
        <v>156552848.94700006</v>
      </c>
      <c r="BT25" s="14">
        <f>'[18]Ülevaade Overview'!AA14</f>
        <v>156129178.57000002</v>
      </c>
      <c r="BU25" s="14">
        <f>'[18]Ülevaade Overview'!AD14</f>
        <v>164273521.25999996</v>
      </c>
      <c r="BV25" s="14">
        <f>'[48]Ülevaade kuuliselt'!$BQ25</f>
        <v>172085711.27000004</v>
      </c>
      <c r="BW25" s="14" t="e">
        <f>#REF!</f>
        <v>#REF!</v>
      </c>
    </row>
    <row r="26" spans="1:75" ht="12.75" customHeight="1">
      <c r="A26" s="18" t="s">
        <v>241</v>
      </c>
      <c r="B26" s="13" t="s">
        <v>242</v>
      </c>
      <c r="C26" s="14">
        <f>('[2]Koond'!$H$216+'[2]Koond'!$H$221)/15.6466</f>
        <v>102637.82291360425</v>
      </c>
      <c r="D26" s="14">
        <f>('[20]Koond'!$H$216+'[20]Koond'!$H$221)/15.6466-C26</f>
        <v>44626.99947592446</v>
      </c>
      <c r="E26" s="14">
        <f>('[21]Koond'!$H$216+'[21]Koond'!$H$221)/15.6466-C26-D26</f>
        <v>638693.2662687103</v>
      </c>
      <c r="F26" s="14">
        <f>('[1]Koond'!$H$216+'[1]Koond'!$H$221)/15.6466-SUM(C26:E26)</f>
        <v>16785.211483644904</v>
      </c>
      <c r="G26" s="14">
        <f>('[4]Koond'!$H$220+'[4]Koond'!$H$225)/15.6466</f>
        <v>63143.7436887247</v>
      </c>
      <c r="H26" s="14">
        <f>('[22]Koond'!$H$220+'[22]Koond'!$H$225)/15.6466-G26</f>
        <v>54717.86586223205</v>
      </c>
      <c r="I26" s="14">
        <f>('[23]Koond'!$H$220+'[23]Koond'!$H$225)/15.6466-H26-G26</f>
        <v>33348.609921644325</v>
      </c>
      <c r="J26" s="14">
        <f>('[3]Koond'!$H$220+'[3]Koond'!$H$225)/15.6466-SUM(G26:I26)</f>
        <v>826683.9600935669</v>
      </c>
      <c r="K26" s="14">
        <f>('[43]Koond'!$H$222+'[43]Koond'!$H$227)/15.6466</f>
        <v>118770.03949739879</v>
      </c>
      <c r="L26" s="14">
        <f>('[44]Koond'!$H$222+'[44]Koond'!$H$227)/15.6466-K26</f>
        <v>143669.5071133665</v>
      </c>
      <c r="M26" s="14">
        <f>('[24]Koond'!$H$222+'[24]Koond'!$H$227)/15.6466-K26-L26</f>
        <v>174366.94297802722</v>
      </c>
      <c r="N26" s="19">
        <f>('[5]Koond'!$H$222+'[5]Koond'!$H$227)/15.6466-SUM(K26:M26)</f>
        <v>133677.09278693137</v>
      </c>
      <c r="O26" s="14">
        <f>('[7]Koond'!$H$222+'[7]Koond'!$H$227)/15.6466</f>
        <v>83347.33744072195</v>
      </c>
      <c r="P26" s="14">
        <f>('[25]Koond'!$H$222+'[25]Koond'!$H$227)/15.6466-O26</f>
        <v>10231.431109634039</v>
      </c>
      <c r="Q26" s="14">
        <f>('[26]Koond'!$H$222+'[26]Koond'!$H$227)/15.6466-P26-O26</f>
        <v>154926.49329566807</v>
      </c>
      <c r="R26" s="19">
        <f>('[6]Koond'!$H$222+'[6]Koond'!$H$227)/15.6466-SUM(O26:Q26)</f>
        <v>26835.70552068815</v>
      </c>
      <c r="S26" s="14">
        <f>('[9]Koond'!$H$222+'[9]Koond'!$H$227)/15.6466</f>
        <v>96905.54625286005</v>
      </c>
      <c r="T26" s="14">
        <f>('[27]Koond'!$H$222+'[27]Koond'!$H$227)/15.6466</f>
        <v>83122.83882760472</v>
      </c>
      <c r="U26" s="14">
        <f>('[28]Koond'!$H$222+'[28]Koond'!$H$227)/15.6466-T26-S26</f>
        <v>-35224.40721945983</v>
      </c>
      <c r="V26" s="19">
        <f>('[8]Koond'!$H$222+'[8]Koond'!$H$227)/15.6466-SUM(S26:U26)</f>
        <v>63395.427121547225</v>
      </c>
      <c r="W26" s="14">
        <f>('[11]Koond'!$H$222+'[11]Koond'!$H$227)/15.6466</f>
        <v>89494.0856160444</v>
      </c>
      <c r="X26" s="14">
        <f>('[29]Koond'!$H$222+'[29]Koond'!$H$227)/15.6466-W26</f>
        <v>11734.237470121298</v>
      </c>
      <c r="Y26" s="14">
        <f>('[30]Koond'!$H$222+'[30]Koond'!$H$227)/15.6466-X26-W26</f>
        <v>38121.39570258076</v>
      </c>
      <c r="Z26" s="19">
        <f>('[10]Koond'!$H$222+'[10]Koond'!$H$227)/15.6466-SUM(W26:Y26)</f>
        <v>9710.619559520914</v>
      </c>
      <c r="AA26" s="19">
        <f>('[13]Koond'!$H$222+'[13]Koond'!$H$227)/15.6466</f>
        <v>126612.17261258035</v>
      </c>
      <c r="AB26" s="19">
        <f>('[31]Koond'!$H$222+'[31]Koond'!$H$227)/15.6466-AA26</f>
        <v>-219091.56621885908</v>
      </c>
      <c r="AC26" s="19">
        <f>('[32]Koond'!$H$222+'[32]Koond'!$H$227)/15.6466-AB26-AA26</f>
        <v>-2280.5376247874665</v>
      </c>
      <c r="AD26" s="19">
        <f>('[12]Koond'!$H$222+'[12]Koond'!$H$227)/15.6466-SUM(AA26:AC26)</f>
        <v>107840.43242621403</v>
      </c>
      <c r="AE26" s="14">
        <f>'[15]Koond'!$H$222+'[15]Koond'!$H$227</f>
        <v>3602.02</v>
      </c>
      <c r="AF26" s="14">
        <f>'[33]Koond'!$H$222+'[33]Koond'!$H$227-AE26</f>
        <v>95655.45999999999</v>
      </c>
      <c r="AG26" s="14">
        <f>'[34]Koond'!$H$222+'[34]Koond'!$H$227-SUM(AE26:AF26)</f>
        <v>2.3999999999941792</v>
      </c>
      <c r="AH26" s="14">
        <f>'[14]Koond'!$H$222+'[14]Koond'!$H$227-SUM(AE26:AG26)</f>
        <v>18888.01000000001</v>
      </c>
      <c r="AI26" s="14">
        <f>'[17]Ülevaade Overview'!$AA25</f>
        <v>-944.2700000000004</v>
      </c>
      <c r="AJ26" s="14">
        <f>'[35]Ülevaade Overview'!$AA25-AI26</f>
        <v>-9507.939999999999</v>
      </c>
      <c r="AK26" s="14">
        <f>'[36]Ülevaade Overview'!$AA25-AJ26-AI26</f>
        <v>8396.829999999994</v>
      </c>
      <c r="AL26" s="14">
        <f>'[18]Ülevaade Overview'!$AA25-SUM(AI26:AK26)</f>
        <v>-478018.27</v>
      </c>
      <c r="AM26" s="14">
        <f>'[19]Ülevaade Overview'!$AD25</f>
        <v>-87295.96</v>
      </c>
      <c r="AN26" s="14">
        <f>'[37]Ülevaade Overview'!$AD25-AM26</f>
        <v>-987124.06</v>
      </c>
      <c r="AO26" s="14">
        <f>'[38]Ülevaade Overview'!$AD25-AN26-AM26</f>
        <v>-1938280.48</v>
      </c>
      <c r="AP26" s="14">
        <f>'[18]Ülevaade Overview'!AD25-AO26-AN26-AM26</f>
        <v>-2019350.88</v>
      </c>
      <c r="AQ26" s="14">
        <f>'[42]Ülevaade Overview'!$AG25</f>
        <v>-758501.45</v>
      </c>
      <c r="AR26" s="14">
        <f>'[45]Ülevaade Overview'!$AG25-AQ26</f>
        <v>-446259.44999999995</v>
      </c>
      <c r="AS26" s="14">
        <f>'[46]Ülevaade Overview'!$AG25-AR26-AQ26</f>
        <v>-735395.27</v>
      </c>
      <c r="AT26" s="14">
        <f>'[48]Ülevaade Overview'!$AG25-AS26-AR26-AQ26</f>
        <v>187470.3899999999</v>
      </c>
      <c r="AU26" s="14">
        <f>'[49]Ülevaade Overview'!$AJ25</f>
        <v>52679.04999999999</v>
      </c>
      <c r="AV26" s="14">
        <f>'[50]Ülevaade Overview'!$AJ25-AU26</f>
        <v>70486.11</v>
      </c>
      <c r="AW26" s="14">
        <f>'[51]Ülevaade Overview'!$AJ25-AV26-AU26</f>
        <v>177628.81</v>
      </c>
      <c r="AX26" s="14" t="e">
        <f>#REF!-AW26-AV26-AU26</f>
        <v>#REF!</v>
      </c>
      <c r="AY26" s="14" t="e">
        <f>#REF!</f>
        <v>#REF!</v>
      </c>
      <c r="AZ26" s="14"/>
      <c r="BA26" s="14"/>
      <c r="BB26" s="14"/>
      <c r="BD26" s="13">
        <v>2011</v>
      </c>
      <c r="BE26" s="36">
        <f>SUM($BE10:BE10)/$BI10</f>
        <v>0.23727973756641638</v>
      </c>
      <c r="BF26" s="36">
        <f>SUM($BE10:BF10)/$BI10</f>
        <v>0.5160131773672615</v>
      </c>
      <c r="BG26" s="36">
        <f>SUM($BE10:BG10)/$BI10</f>
        <v>0.7442048057670515</v>
      </c>
      <c r="BH26" s="36">
        <f>SUM($BE10:BH10)/$BI10</f>
        <v>1</v>
      </c>
      <c r="BK26" s="13" t="s">
        <v>245</v>
      </c>
      <c r="BL26" s="14"/>
      <c r="BM26" s="14"/>
      <c r="BN26" s="14"/>
      <c r="BO26" s="14"/>
      <c r="BP26" s="14"/>
      <c r="BQ26" s="14"/>
      <c r="BR26" s="14"/>
      <c r="BS26" s="14">
        <f>-'[18]Ülevaade Overview'!X27</f>
        <v>17421896.48</v>
      </c>
      <c r="BT26" s="14">
        <f>-'[18]Ülevaade Overview'!AA27</f>
        <v>16682430.770000001</v>
      </c>
      <c r="BU26" s="14">
        <f>-'[18]Ülevaade Overview'!AD27</f>
        <v>13022596.63</v>
      </c>
      <c r="BV26" s="14">
        <f>'[48]Ülevaade kuuliselt'!$BQ26</f>
        <v>13915359.69</v>
      </c>
      <c r="BW26" s="14" t="e">
        <f>-#REF!</f>
        <v>#REF!</v>
      </c>
    </row>
    <row r="27" spans="1:75" ht="12.75">
      <c r="A27" s="18" t="s">
        <v>243</v>
      </c>
      <c r="B27" s="13" t="s">
        <v>244</v>
      </c>
      <c r="C27" s="14">
        <f>('[2]Koond'!$H$108-'[2]Koond'!$H$114)/15.6466</f>
        <v>223595.37024018023</v>
      </c>
      <c r="D27" s="14">
        <f>('[20]Koond'!$H$108-'[20]Koond'!$H$114)/15.6466-C27</f>
        <v>3703461.7929773876</v>
      </c>
      <c r="E27" s="14">
        <f>('[21]Koond'!$H$108-'[21]Koond'!$H$114)/15.6466-D27-C27</f>
        <v>393949.9335318851</v>
      </c>
      <c r="F27" s="19">
        <f>('[1]Koond'!$H$108-'[1]Koond'!$H$114)/15.6466-SUM(C27:E27)</f>
        <v>435198.00915214885</v>
      </c>
      <c r="G27" s="14">
        <f>('[4]Koond'!$H$108-'[4]Koond'!$H$114)/15.6466</f>
        <v>189904.36708294536</v>
      </c>
      <c r="H27" s="14">
        <f>('[22]Koond'!$H$108-'[22]Koond'!$H$114)/15.6466-G27</f>
        <v>399666.1709253117</v>
      </c>
      <c r="I27" s="14">
        <f>('[23]Koond'!$H$108-'[23]Koond'!$H$114)/15.6466-H27-G27</f>
        <v>1454554.4003170026</v>
      </c>
      <c r="J27" s="14">
        <f>('[3]Koond'!$H$108-'[3]Koond'!$H$114)/15.6466-SUM(G27:I27)</f>
        <v>171142.60797872976</v>
      </c>
      <c r="K27" s="14">
        <f>('[43]Koond'!$H$108-'[43]Koond'!$H$114)/15.6466</f>
        <v>368647.6352690044</v>
      </c>
      <c r="L27" s="14">
        <f>('[44]Koond'!$H$108-'[44]Koond'!$H$114)/15.6466-K27</f>
        <v>4410936.289673155</v>
      </c>
      <c r="M27" s="14">
        <f>('[24]Koond'!$H$108-'[24]Koond'!$H$114)/15.6466-L27-K27</f>
        <v>1104967.825597893</v>
      </c>
      <c r="N27" s="19">
        <f>('[5]Koond'!$H$108-'[5]Koond'!$H$114)/15.6466-SUM(K27:M27)</f>
        <v>1373790.1806143215</v>
      </c>
      <c r="O27" s="14">
        <f>('[7]Koond'!$H$108-'[7]Koond'!$H$114)/15.6466</f>
        <v>988481.8311965525</v>
      </c>
      <c r="P27" s="14">
        <f>('[25]Koond'!$H$108-'[25]Koond'!$H$114)/15.6466-O27</f>
        <v>6812579.959224371</v>
      </c>
      <c r="Q27" s="14">
        <f>('[26]Koond'!$H$108-'[26]Koond'!$H$114)/15.6466-P27-O27</f>
        <v>1728184.8880907013</v>
      </c>
      <c r="R27" s="19">
        <f>('[6]Koond'!$H$108-'[6]Koond'!$H$114)/15.6466-SUM(O27:Q27)</f>
        <v>1636482.4671174604</v>
      </c>
      <c r="S27" s="14">
        <f>('[9]Koond'!$H$108-'[9]Koond'!$H$114)/15.6466</f>
        <v>1494737.4349698971</v>
      </c>
      <c r="T27" s="14">
        <f>('[27]Koond'!$H$108-'[27]Koond'!$H$114)/15.6466-S27</f>
        <v>7816704.530057653</v>
      </c>
      <c r="U27" s="14">
        <f>('[28]Koond'!$H$108-'[28]Koond'!$H$114)/15.6466-T27-S27</f>
        <v>2143458.1538481135</v>
      </c>
      <c r="V27" s="19">
        <f>('[8]Koond'!$H$108-'[8]Koond'!$H$114)/15.6466-SUM(S27:U27)</f>
        <v>1882197.97655721</v>
      </c>
      <c r="W27" s="14">
        <f>('[11]Koond'!$H$108-'[11]Koond'!$H$114)/15.6466</f>
        <v>1089964.6651668749</v>
      </c>
      <c r="X27" s="14">
        <f>('[29]Koond'!$H$108-'[29]Koond'!$H$114)/15.6466-W27</f>
        <v>6772524.922347343</v>
      </c>
      <c r="Y27" s="14">
        <f>('[30]Koond'!$H$108-'[30]Koond'!$H$114)/15.6466-X27-W27</f>
        <v>1120061.2343895794</v>
      </c>
      <c r="Z27" s="19">
        <f>('[10]Koond'!$H$108-'[10]Koond'!$H$114)/15.6466-SUM(W27:Y27)</f>
        <v>950072.3134738598</v>
      </c>
      <c r="AA27" s="19">
        <f>('[13]Koond'!$H$108-'[13]Koond'!$H$114)/15.6466</f>
        <v>351879.91320798034</v>
      </c>
      <c r="AB27" s="19">
        <f>('[31]Koond'!$H$108-'[31]Koond'!$H$114)/15.6466-AA27</f>
        <v>11787034.083443051</v>
      </c>
      <c r="AC27" s="19">
        <f>('[32]Koond'!$H$108-'[32]Koond'!$H$114)/15.6466-AB27-AA27</f>
        <v>288443.73474109126</v>
      </c>
      <c r="AD27" s="19">
        <f>('[12]Koond'!$H$108-'[12]Koond'!$H$114)/15.6466-SUM(AA27:AC27)</f>
        <v>298217.74890391715</v>
      </c>
      <c r="AE27" s="14">
        <f>'[15]Koond'!$H$108-'[15]Koond'!$H$114</f>
        <v>168715.53000000026</v>
      </c>
      <c r="AF27" s="14">
        <f>'[33]Koond'!$H$108-'[33]Koond'!$H$114-AE27</f>
        <v>6113342.249999997</v>
      </c>
      <c r="AG27" s="14">
        <f>'[34]Koond'!$H$108-'[34]Koond'!$H$114-SUM(AE27:AF27)</f>
        <v>1073251.4500000011</v>
      </c>
      <c r="AH27" s="14">
        <f>'[14]Koond'!$H$108-'[14]Koond'!$H$114-SUM(AE27:AG27)</f>
        <v>461688.9900000002</v>
      </c>
      <c r="AI27" s="14">
        <f>'[17]Ülevaade Overview'!$AA26</f>
        <v>168984.49999999997</v>
      </c>
      <c r="AJ27" s="14">
        <f>'[35]Ülevaade Overview'!$AA26-AI27</f>
        <v>6461793.21</v>
      </c>
      <c r="AK27" s="14">
        <f>'[36]Ülevaade Overview'!$AA26-AJ27-AI27</f>
        <v>1277005.5300000012</v>
      </c>
      <c r="AL27" s="14">
        <f>'[18]Ülevaade Overview'!$AA26-SUM(AI27:AK27)</f>
        <v>746594.1499999994</v>
      </c>
      <c r="AM27" s="14">
        <f>'[19]Ülevaade Overview'!$AD26</f>
        <v>94006.35000000002</v>
      </c>
      <c r="AN27" s="14">
        <f>'[37]Ülevaade Overview'!$AD26-AM27</f>
        <v>6609479.79</v>
      </c>
      <c r="AO27" s="14">
        <f>'[38]Ülevaade Overview'!$AD26-AN27-AM27</f>
        <v>103941.5000000024</v>
      </c>
      <c r="AP27" s="14">
        <f>'[18]Ülevaade Overview'!AD26-AO27-AN27-AM27</f>
        <v>-4025381.2600000026</v>
      </c>
      <c r="AQ27" s="14">
        <f>'[42]Ülevaade Overview'!$AG26</f>
        <v>80039.23999999999</v>
      </c>
      <c r="AR27" s="14">
        <f>'[45]Ülevaade Overview'!$AG26-AQ27</f>
        <v>19409868.730000004</v>
      </c>
      <c r="AS27" s="14">
        <f>'[46]Ülevaade Overview'!$AG26-AR27-AQ27</f>
        <v>149158.42999999435</v>
      </c>
      <c r="AT27" s="14">
        <f>'[48]Ülevaade Overview'!$AG26-AS27-AR27-AQ27</f>
        <v>247054.03999999375</v>
      </c>
      <c r="AU27" s="14">
        <f>'[49]Ülevaade Overview'!$AJ26</f>
        <v>88881.3</v>
      </c>
      <c r="AV27" s="14">
        <f>'[50]Ülevaade Overview'!$AJ26-AU27</f>
        <v>5434470.280000001</v>
      </c>
      <c r="AW27" s="14">
        <f>'[51]Ülevaade Overview'!$AJ26-AV27-AU27</f>
        <v>1980344.5499999996</v>
      </c>
      <c r="AX27" s="14" t="e">
        <f>#REF!-AW27-AV27-AU27</f>
        <v>#REF!</v>
      </c>
      <c r="AY27" s="14" t="e">
        <f>#REF!</f>
        <v>#REF!</v>
      </c>
      <c r="AZ27" s="14"/>
      <c r="BA27" s="14"/>
      <c r="BB27" s="14"/>
      <c r="BD27" s="13">
        <v>2012</v>
      </c>
      <c r="BE27" s="36">
        <f>SUM($BE11:BE11)/$BI11</f>
        <v>0.2483615458311301</v>
      </c>
      <c r="BF27" s="36">
        <f>SUM($BE11:BF11)/$BI11</f>
        <v>0.5250823682939108</v>
      </c>
      <c r="BG27" s="36">
        <f>SUM($BE11:BG11)/$BI11</f>
        <v>0.7520046743397973</v>
      </c>
      <c r="BH27" s="36">
        <f>SUM($BE11:BH11)/$BI11</f>
        <v>1</v>
      </c>
      <c r="BK27" s="13" t="s">
        <v>287</v>
      </c>
      <c r="BL27" s="14"/>
      <c r="BM27" s="14"/>
      <c r="BN27" s="14"/>
      <c r="BO27" s="14"/>
      <c r="BP27" s="14"/>
      <c r="BQ27" s="14"/>
      <c r="BR27" s="14"/>
      <c r="BS27" s="14">
        <f>-'[14]Koond'!$H$235</f>
        <v>71458345.81</v>
      </c>
      <c r="BT27" s="14">
        <f>-'[41]Koond'!E51</f>
        <v>65774229.010000005</v>
      </c>
      <c r="BU27" s="14">
        <f>-'[18]Koond'!E51</f>
        <v>75273202.40999997</v>
      </c>
      <c r="BV27" s="14">
        <f>'[48]Ülevaade kuuliselt'!$BQ27</f>
        <v>95083750.85999998</v>
      </c>
      <c r="BW27" s="14" t="e">
        <f>-#REF!</f>
        <v>#REF!</v>
      </c>
    </row>
    <row r="28" spans="1:75" ht="12.75">
      <c r="A28" s="18" t="s">
        <v>245</v>
      </c>
      <c r="B28" s="13" t="s">
        <v>246</v>
      </c>
      <c r="C28" s="14">
        <f>-'[2]Koond'!$H$193/15.6466</f>
        <v>-2411409.153426303</v>
      </c>
      <c r="D28" s="14">
        <f>-'[20]Koond'!$H$193/15.6466-C28</f>
        <v>-2463952.139761994</v>
      </c>
      <c r="E28" s="14">
        <f>-'[21]Koond'!$H$193/15.6466-D28-C28</f>
        <v>-1852140.078994799</v>
      </c>
      <c r="F28" s="14">
        <f>-'[1]Koond'!$H$193/15.6466-SUM(C28:E28)</f>
        <v>-2430526.365472369</v>
      </c>
      <c r="G28" s="14">
        <f>-'[4]Koond'!$H$197/15.6466</f>
        <v>-1476046.718775964</v>
      </c>
      <c r="H28" s="14">
        <f>-'[22]Koond'!$H$197/15.6466-G28</f>
        <v>-1832270.9201999155</v>
      </c>
      <c r="I28" s="14">
        <f>-'[23]Koond'!$H$197/15.6466-H28-G28</f>
        <v>-2543770.663275088</v>
      </c>
      <c r="J28" s="14">
        <f>-'[3]Koond'!$H$197/15.6466-SUM(G28:I28)</f>
        <v>-1743398.3114542458</v>
      </c>
      <c r="K28" s="14">
        <f>-'[43]Koond'!$H$199/15.6466</f>
        <v>-2114503.518336252</v>
      </c>
      <c r="L28" s="14">
        <f>-'[44]Koond'!$H$199/15.6466-K28</f>
        <v>-2136353.44228139</v>
      </c>
      <c r="M28" s="14">
        <f>-'[24]Koond'!$H$199/15.6466-L28-K28</f>
        <v>-2498176.2906957413</v>
      </c>
      <c r="N28" s="19">
        <f>-'[5]Koond'!$H$199/15.6466-SUM(K28:M28)</f>
        <v>-2166495.733258346</v>
      </c>
      <c r="O28" s="14">
        <f>-'[7]Koond'!$H$199/15.6466</f>
        <v>-2908209.513888001</v>
      </c>
      <c r="P28" s="14">
        <f>-'[25]Koond'!$H$199/15.6466-O28</f>
        <v>-3075569.1472907853</v>
      </c>
      <c r="Q28" s="14">
        <f>-'[26]Koond'!$H$199/15.6466-P28-O28</f>
        <v>-3333651.213682207</v>
      </c>
      <c r="R28" s="19">
        <f>-'[6]Koond'!$H$199/15.6466-SUM(O28:Q28)</f>
        <v>-3264081.2285097055</v>
      </c>
      <c r="S28" s="14">
        <f>-'[9]Koond'!$H$199/15.6466</f>
        <v>-4320784.723837767</v>
      </c>
      <c r="T28" s="14">
        <f>-'[27]Koond'!$H$199/15.6466-S28</f>
        <v>-3491789.473112368</v>
      </c>
      <c r="U28" s="14">
        <f>-'[28]Koond'!$H$199/15.6466-S28-T28</f>
        <v>-4666099.295054519</v>
      </c>
      <c r="V28" s="19">
        <f>-'[8]Koond'!$H$199/15.6466-SUM(S28:U28)</f>
        <v>-4343611.748239236</v>
      </c>
      <c r="W28" s="14">
        <f>-'[11]Koond'!$H$199/15.6466</f>
        <v>-4902003.668528626</v>
      </c>
      <c r="X28" s="14">
        <f>-'[29]Koond'!$H$199/15.6466-W28</f>
        <v>-4140393.148671277</v>
      </c>
      <c r="Y28" s="14">
        <f>-'[30]Koond'!$H$199/15.6466-X28-W28</f>
        <v>-3551452.0534812696</v>
      </c>
      <c r="Z28" s="19">
        <f>-'[10]Koond'!$H$199/15.6466-SUM(W28:Y28)</f>
        <v>-3170869.6036199536</v>
      </c>
      <c r="AA28" s="19">
        <f>-'[13]Koond'!$H$199/15.6466</f>
        <v>-3192734.6643999335</v>
      </c>
      <c r="AB28" s="19">
        <f>-'[31]Koond'!$H$199/15.6466-AA28</f>
        <v>-4937109.869875884</v>
      </c>
      <c r="AC28" s="19">
        <f>-'[32]Koond'!$H$199/15.6466-AB28-AA28</f>
        <v>-4484544.229417255</v>
      </c>
      <c r="AD28" s="19">
        <f>-'[12]Koond'!$H$199/15.6466-SUM(AA28:AC28)</f>
        <v>-4777076.433857836</v>
      </c>
      <c r="AE28" s="14">
        <f>-'[15]Koond'!$H$199</f>
        <v>-4619471.810000001</v>
      </c>
      <c r="AF28" s="14">
        <f>-'[33]Koond'!$H$199-AE28</f>
        <v>-3977372.759999999</v>
      </c>
      <c r="AG28" s="14">
        <f>-'[34]Koond'!$H$199-SUM(AE28:AF28)</f>
        <v>-4888102.329999998</v>
      </c>
      <c r="AH28" s="14">
        <f>-'[14]Koond'!$H$199-SUM(AE28:AG28)</f>
        <v>-3936949.580000002</v>
      </c>
      <c r="AI28" s="14">
        <f>'[17]Ülevaade Overview'!$AA27</f>
        <v>-5468325.919999999</v>
      </c>
      <c r="AJ28" s="14">
        <f>'[35]Ülevaade Overview'!$AA27-AI28</f>
        <v>-3681304.000000001</v>
      </c>
      <c r="AK28" s="14">
        <f>'[36]Ülevaade Overview'!$AA27-AJ28-AI28</f>
        <v>-4566417.770000002</v>
      </c>
      <c r="AL28" s="14">
        <f>'[18]Ülevaade Overview'!$AA27-SUM(AI28:AK28)</f>
        <v>-2966383.08</v>
      </c>
      <c r="AM28" s="14">
        <f>'[19]Ülevaade Overview'!$AD27</f>
        <v>-3442972.22</v>
      </c>
      <c r="AN28" s="14">
        <f>'[37]Ülevaade Overview'!$AD27-AM28</f>
        <v>-2951374.940000001</v>
      </c>
      <c r="AO28" s="14">
        <f>'[38]Ülevaade Overview'!$AD27-AN28-AM28</f>
        <v>-3439568.3700000015</v>
      </c>
      <c r="AP28" s="14">
        <f>'[18]Ülevaade Overview'!AD27-AO28-AN28-AM28</f>
        <v>-3188681.099999998</v>
      </c>
      <c r="AQ28" s="14">
        <f>'[42]Ülevaade Overview'!$AG27</f>
        <v>-3691508.1999999993</v>
      </c>
      <c r="AR28" s="14">
        <f>'[45]Ülevaade Overview'!$AG27-AQ28</f>
        <v>-3190460.539999998</v>
      </c>
      <c r="AS28" s="14">
        <f>'[46]Ülevaade Overview'!$AG27-AR28-AQ28</f>
        <v>-3754242.7900000038</v>
      </c>
      <c r="AT28" s="14">
        <f>'[48]Ülevaade Overview'!$AG27-AS28-AR28-AQ28</f>
        <v>-3279148.1599999974</v>
      </c>
      <c r="AU28" s="14">
        <f>'[49]Ülevaade Overview'!$AJ27</f>
        <v>-3314348</v>
      </c>
      <c r="AV28" s="14">
        <f>'[50]Ülevaade Overview'!$AJ27-AU28</f>
        <v>-2598358.3699999982</v>
      </c>
      <c r="AW28" s="14">
        <f>'[51]Ülevaade Overview'!$AJ27-AV28-AU28</f>
        <v>-3012596.1900000004</v>
      </c>
      <c r="AX28" s="14" t="e">
        <f>#REF!-AW28-AV28-AU28</f>
        <v>#REF!</v>
      </c>
      <c r="AY28" s="14" t="e">
        <f>#REF!</f>
        <v>#REF!</v>
      </c>
      <c r="AZ28" s="14"/>
      <c r="BA28" s="14"/>
      <c r="BB28" s="14"/>
      <c r="BD28" s="13">
        <v>2013</v>
      </c>
      <c r="BE28" s="36">
        <f>SUM($BE12:BE12)/$BI12</f>
        <v>0.2541390086997467</v>
      </c>
      <c r="BF28" s="36">
        <f>SUM($BE12:BF12)/$BI12</f>
        <v>0.5328128956133962</v>
      </c>
      <c r="BG28" s="36">
        <f>SUM($BE12:BG12)/$BI12</f>
        <v>0.7486305014675522</v>
      </c>
      <c r="BH28" s="36">
        <f>SUM($BE12:BH12)/$BI12</f>
        <v>1</v>
      </c>
      <c r="BK28" s="13" t="s">
        <v>288</v>
      </c>
      <c r="BL28" s="14"/>
      <c r="BM28" s="14"/>
      <c r="BN28" s="14"/>
      <c r="BO28" s="14"/>
      <c r="BP28" s="14"/>
      <c r="BQ28" s="14"/>
      <c r="BR28" s="14"/>
      <c r="BS28" s="14">
        <f>'[18]Ülevaade Overview'!X17-'[14]Koond'!$H$218</f>
        <v>30474443.59</v>
      </c>
      <c r="BT28" s="14">
        <f>'[18]Ülevaade Overview'!AA17-'[41]Koond'!E41-'[41]Koond'!E43-'[41]Koond'!E45</f>
        <v>36698681.27</v>
      </c>
      <c r="BU28" s="14">
        <f>'[18]Ülevaade Overview'!AD17-'[18]Koond'!E41-'[18]Koond'!E43-'[18]Koond'!E45</f>
        <v>40295338.57999998</v>
      </c>
      <c r="BV28" s="14">
        <f>'[48]Ülevaade kuuliselt'!$BQ28</f>
        <v>35549193.42999999</v>
      </c>
      <c r="BW28" s="14" t="e">
        <f>#REF!-#REF!-#REF!-#REF!</f>
        <v>#REF!</v>
      </c>
    </row>
    <row r="29" spans="1:75" ht="12.75">
      <c r="A29" s="22" t="s">
        <v>247</v>
      </c>
      <c r="B29" s="23" t="s">
        <v>248</v>
      </c>
      <c r="C29" s="12">
        <f aca="true" t="shared" si="14" ref="C29:AN29">C19+C20</f>
        <v>-2106127.2105579693</v>
      </c>
      <c r="D29" s="12">
        <f t="shared" si="14"/>
        <v>8915755.24092877</v>
      </c>
      <c r="E29" s="12">
        <f t="shared" si="14"/>
        <v>5790751.251390129</v>
      </c>
      <c r="F29" s="12">
        <f t="shared" si="14"/>
        <v>-18909446.902266353</v>
      </c>
      <c r="G29" s="12">
        <f t="shared" si="14"/>
        <v>8100209.727991991</v>
      </c>
      <c r="H29" s="12">
        <f t="shared" si="14"/>
        <v>26132670.231884334</v>
      </c>
      <c r="I29" s="12">
        <f t="shared" si="14"/>
        <v>14339517.024772022</v>
      </c>
      <c r="J29" s="12">
        <f t="shared" si="14"/>
        <v>-69759605.5484258</v>
      </c>
      <c r="K29" s="12">
        <f t="shared" si="14"/>
        <v>38740530.46163389</v>
      </c>
      <c r="L29" s="12">
        <f t="shared" si="14"/>
        <v>89601394.45617588</v>
      </c>
      <c r="M29" s="12">
        <f t="shared" si="14"/>
        <v>-73376413.89017424</v>
      </c>
      <c r="N29" s="12">
        <f t="shared" si="14"/>
        <v>-66858029.109301865</v>
      </c>
      <c r="O29" s="12">
        <f t="shared" si="14"/>
        <v>37563988.41793104</v>
      </c>
      <c r="P29" s="12">
        <f t="shared" si="14"/>
        <v>41135105.54169584</v>
      </c>
      <c r="Q29" s="12">
        <f t="shared" si="14"/>
        <v>-9245352.528900608</v>
      </c>
      <c r="R29" s="12">
        <f t="shared" si="14"/>
        <v>-85242469.40888117</v>
      </c>
      <c r="S29" s="12">
        <f t="shared" si="14"/>
        <v>16268356.66336453</v>
      </c>
      <c r="T29" s="12">
        <f t="shared" si="14"/>
        <v>-5783793.913629726</v>
      </c>
      <c r="U29" s="12">
        <f t="shared" si="14"/>
        <v>-7283253.698759094</v>
      </c>
      <c r="V29" s="12">
        <f t="shared" si="14"/>
        <v>-77632311.38119465</v>
      </c>
      <c r="W29" s="12">
        <f t="shared" si="14"/>
        <v>-15106413.85924095</v>
      </c>
      <c r="X29" s="12">
        <f t="shared" si="14"/>
        <v>8267048.443970673</v>
      </c>
      <c r="Y29" s="12">
        <f t="shared" si="14"/>
        <v>-25696981.029963717</v>
      </c>
      <c r="Z29" s="12">
        <f t="shared" si="14"/>
        <v>-23102783.79648022</v>
      </c>
      <c r="AA29" s="12">
        <f t="shared" si="14"/>
        <v>-11441248.079327289</v>
      </c>
      <c r="AB29" s="12">
        <f t="shared" si="14"/>
        <v>39224701.153477736</v>
      </c>
      <c r="AC29" s="12">
        <f t="shared" si="14"/>
        <v>47232.6684390977</v>
      </c>
      <c r="AD29" s="12">
        <f t="shared" si="14"/>
        <v>-7261352.286228493</v>
      </c>
      <c r="AE29" s="12">
        <f t="shared" si="14"/>
        <v>1291471.2509999466</v>
      </c>
      <c r="AF29" s="12">
        <f t="shared" si="14"/>
        <v>38841104.53200013</v>
      </c>
      <c r="AG29" s="12">
        <f t="shared" si="14"/>
        <v>-1301292.0820000172</v>
      </c>
      <c r="AH29" s="12">
        <f t="shared" si="14"/>
        <v>-12765488.126000024</v>
      </c>
      <c r="AI29" s="12">
        <f t="shared" si="14"/>
        <v>20965921.278429925</v>
      </c>
      <c r="AJ29" s="12">
        <f t="shared" si="14"/>
        <v>42686521.24702228</v>
      </c>
      <c r="AK29" s="12">
        <f t="shared" si="14"/>
        <v>-19406328.024452426</v>
      </c>
      <c r="AL29" s="12">
        <f t="shared" si="14"/>
        <v>-46153038.37099953</v>
      </c>
      <c r="AM29" s="12">
        <f t="shared" si="14"/>
        <v>30108895.069999892</v>
      </c>
      <c r="AN29" s="12">
        <f t="shared" si="14"/>
        <v>12694316.750000104</v>
      </c>
      <c r="AO29" s="12">
        <f aca="true" t="shared" si="15" ref="AO29:AT29">AO19+AO20</f>
        <v>-53266622.89000015</v>
      </c>
      <c r="AP29" s="12">
        <f t="shared" si="15"/>
        <v>-62323817.40999991</v>
      </c>
      <c r="AQ29" s="12">
        <f t="shared" si="15"/>
        <v>54966620.17000007</v>
      </c>
      <c r="AR29" s="12">
        <f t="shared" si="15"/>
        <v>21141686.939999826</v>
      </c>
      <c r="AS29" s="12">
        <f t="shared" si="15"/>
        <v>-31213160.020000137</v>
      </c>
      <c r="AT29" s="12">
        <f t="shared" si="15"/>
        <v>-44304812.14999995</v>
      </c>
      <c r="AU29" s="12">
        <f>AU19+AU20</f>
        <v>56539116.19999997</v>
      </c>
      <c r="AV29" s="12">
        <f>AV19+AV20</f>
        <v>18716184.730000034</v>
      </c>
      <c r="AW29" s="12">
        <f>AW19+AW20</f>
        <v>-10240487.430000037</v>
      </c>
      <c r="AX29" s="12" t="e">
        <f>AX19+AX20</f>
        <v>#REF!</v>
      </c>
      <c r="AY29" s="12" t="e">
        <f>AY19+AY20</f>
        <v>#REF!</v>
      </c>
      <c r="AZ29" s="12"/>
      <c r="BA29" s="12"/>
      <c r="BB29" s="12"/>
      <c r="BD29" s="13">
        <v>2014</v>
      </c>
      <c r="BE29" s="36">
        <f>SUM($BE13:BE13)/$BI13</f>
        <v>0.2654896305842474</v>
      </c>
      <c r="BF29" s="36">
        <f>SUM($BE13:BF13)/$BI13</f>
        <v>0.5329282806389335</v>
      </c>
      <c r="BG29" s="36">
        <f>SUM($BE13:BG13)/$BI13</f>
        <v>0.7497075166378392</v>
      </c>
      <c r="BH29" s="36">
        <f>SUM($BE13:BH13)/$BI13</f>
        <v>1</v>
      </c>
      <c r="BK29" s="13" t="s">
        <v>196</v>
      </c>
      <c r="BL29" s="14"/>
      <c r="BM29" s="14"/>
      <c r="BN29" s="14"/>
      <c r="BO29" s="14"/>
      <c r="BP29" s="14"/>
      <c r="BQ29" s="14"/>
      <c r="BR29" s="14"/>
      <c r="BS29" s="27">
        <f>SUM(BS21:BS28)</f>
        <v>1372818111.0709999</v>
      </c>
      <c r="BT29" s="27">
        <f>SUM(BT21:BT28)</f>
        <v>1492575582.3999999</v>
      </c>
      <c r="BU29" s="27">
        <f>SUM(BU21:BU28)</f>
        <v>1637877364.8400002</v>
      </c>
      <c r="BV29" s="27">
        <f>SUM(BV21:BV28)</f>
        <v>1615578721.11</v>
      </c>
      <c r="BW29" s="27" t="e">
        <f>SUM(BW21:BW28)</f>
        <v>#REF!</v>
      </c>
    </row>
    <row r="30" spans="1:75" ht="12.75">
      <c r="A30" s="22" t="s">
        <v>249</v>
      </c>
      <c r="B30" s="11" t="s">
        <v>250</v>
      </c>
      <c r="C30" s="12">
        <f>('[2]Koond'!$H$222+'[2]Koond'!$H$229)/15.6466</f>
        <v>641447.8091086857</v>
      </c>
      <c r="D30" s="12">
        <f>('[20]Koond'!$H$222+'[20]Koond'!$H$229)/15.6466-C30</f>
        <v>7025473.688852531</v>
      </c>
      <c r="E30" s="12">
        <f>('[21]Koond'!$H$222+'[21]Koond'!$H$229)/15.6466-D30-C30</f>
        <v>-1888081.1000472726</v>
      </c>
      <c r="F30" s="12">
        <f>('[1]Koond'!$H$222+'[1]Koond'!$H$229)/15.6466-SUM(C30:E30)</f>
        <v>9504428.213797232</v>
      </c>
      <c r="G30" s="12">
        <f>'[3]Ülevaade Overview (2)'!G25/15.6466*1000</f>
        <v>-3184333.72681605</v>
      </c>
      <c r="H30" s="12">
        <f>('[22]Koond'!$H$226+'[22]Koond'!$H$233)/15.6466-G30</f>
        <v>14868311.504096743</v>
      </c>
      <c r="I30" s="12">
        <f>('[23]Koond'!$H$226+'[23]Koond'!$H$233)/15.6466-H30-G30</f>
        <v>3358348.1299451487</v>
      </c>
      <c r="J30" s="12">
        <f>('[3]Koond'!$H$226+'[3]Koond'!$H$233)/15.6466-SUM(G30:I30)</f>
        <v>14489810.944869827</v>
      </c>
      <c r="K30" s="12">
        <f>'[43]Ülevaade Overview'!$F25/15.6466*1000</f>
        <v>-6845845.17786612</v>
      </c>
      <c r="L30" s="12">
        <f>'[44]Ülevaade Overview'!$F25/15.6466*1000-SUM(K30:K30)</f>
        <v>-17940702.806360483</v>
      </c>
      <c r="M30" s="12">
        <f>'[24]Ülevaade Overview'!$F25/15.6466*1000-SUM(K30:L30)</f>
        <v>-3268412.721613638</v>
      </c>
      <c r="N30" s="12">
        <f>'[5]Ülevaade Overview'!$F25/15.6466*1000-SUM(K30:M30)</f>
        <v>56369398.57988317</v>
      </c>
      <c r="O30" s="12">
        <f>'[7]Ülevaade Overview'!$G25/15.6466*1000</f>
        <v>-8767521.131747477</v>
      </c>
      <c r="P30" s="12">
        <f>'[25]Ülevaade Overview'!$G25/15.6466*1000-SUM(O30:O30)</f>
        <v>-3931886.485242797</v>
      </c>
      <c r="Q30" s="12">
        <f>'[26]Ülevaade Overview'!$G25/15.6466*1000-SUM(O30:P30)</f>
        <v>-9603284.194968866</v>
      </c>
      <c r="R30" s="12">
        <f>'[6]Ülevaade Overview'!$G25/15.6466*1000-SUM(O30:Q30)</f>
        <v>41051234.27358019</v>
      </c>
      <c r="S30" s="12">
        <f>'[9]Ülevaade Overview'!$Q25/15.6466*1000</f>
        <v>2957145.8828116017</v>
      </c>
      <c r="T30" s="12">
        <f>'[27]Ülevaade Overview'!$Q25/15.6466*1000-SUM(S30:S30)</f>
        <v>-5093292.7230197005</v>
      </c>
      <c r="U30" s="12">
        <f>'[28]Ülevaade Overview'!$Q25/15.6466*1000-SUM(S30:T30)</f>
        <v>10073514.316209283</v>
      </c>
      <c r="V30" s="12">
        <f>'[8]Ülevaade Overview'!$Q25/15.6466*1000-SUM(S30:U30)</f>
        <v>51954132.43324429</v>
      </c>
      <c r="W30" s="12">
        <f>'[11]Ülevaade Overview'!$T25/15.6466*1000</f>
        <v>29190044.019147944</v>
      </c>
      <c r="X30" s="12">
        <f>'[29]Ülevaade Overview'!$T25/15.6466*1000-SUM($W30:W30)</f>
        <v>-875339.1011465713</v>
      </c>
      <c r="Y30" s="12">
        <f>'[30]Ülevaade Overview'!$T25/15.6466*1000-SUM($W30:X30)</f>
        <v>6370136.135006946</v>
      </c>
      <c r="Z30" s="12">
        <f>'[10]Ülevaade Overview'!$T25/15.6466*1000-SUM($W30:Y30)</f>
        <v>-12415700.019173503</v>
      </c>
      <c r="AA30" s="12">
        <f>'[13]Ülevaade Overview'!$W25/15.6466*1000</f>
        <v>11571277.163728882</v>
      </c>
      <c r="AB30" s="12">
        <f>'[31]Ülevaade Overview'!$W25/15.6466*1000-SUM($AA30:AA30)</f>
        <v>-15169272.985824406</v>
      </c>
      <c r="AC30" s="12">
        <f>'[32]Ülevaade Overview'!$W25/15.6466*1000-SUM($AA30:AB30)</f>
        <v>-3133107.148517899</v>
      </c>
      <c r="AD30" s="12">
        <f>'[12]Ülevaade Overview'!$W25/15.6466*1000-SUM($AA30:AC30)</f>
        <v>224491.29587253742</v>
      </c>
      <c r="AE30" s="12">
        <f>'[15]Ülevaade Overview'!$Z25</f>
        <v>-4949240.100000003</v>
      </c>
      <c r="AF30" s="12">
        <f>'[33]Ülevaade Overview'!$Z25-SUM($AE30:AE30)</f>
        <v>-4786102.330000002</v>
      </c>
      <c r="AG30" s="12">
        <f>'[34]Ülevaade Overview'!$Z25-SUM($AE30:AF30)</f>
        <v>-5126034.5100000035</v>
      </c>
      <c r="AH30" s="12">
        <f>'[14]Ülevaade Overview'!$Z25-SUM($AE30:AG30)</f>
        <v>9450369.140000012</v>
      </c>
      <c r="AI30" s="12">
        <f>'[17]Ülevaade Overview'!$AA29</f>
        <v>-5497536.050000001</v>
      </c>
      <c r="AJ30" s="12">
        <f>'[35]Ülevaade Overview'!$AA29-AI30</f>
        <v>-4771295.549999997</v>
      </c>
      <c r="AK30" s="12">
        <f>'[36]Ülevaade Overview'!$AA29-AJ30-AI30</f>
        <v>8156623.339999995</v>
      </c>
      <c r="AL30" s="12">
        <f>'[18]Ülevaade Overview'!$AA29-SUM(AI30:AK30)</f>
        <v>908721.8700000015</v>
      </c>
      <c r="AM30" s="12">
        <f>'[19]Ülevaade Overview'!$AD29</f>
        <v>-3007917.540000001</v>
      </c>
      <c r="AN30" s="12">
        <f>'[37]Ülevaade Overview'!$AD29-AM30</f>
        <v>-1379430.0299999993</v>
      </c>
      <c r="AO30" s="12">
        <f>'[38]Ülevaade Overview'!$AD29-AN30-AM30</f>
        <v>43063207.18000001</v>
      </c>
      <c r="AP30" s="12">
        <f>'[18]Ülevaade Overview'!AD29-AO30-AN30-AM30</f>
        <v>19922172.33000002</v>
      </c>
      <c r="AQ30" s="12">
        <f>'[42]Ülevaade Overview'!$AG29</f>
        <v>18636517.730000008</v>
      </c>
      <c r="AR30" s="12">
        <f>'[45]Ülevaade Overview'!$AG29-AQ30</f>
        <v>-6050727.180000011</v>
      </c>
      <c r="AS30" s="12">
        <f>'[46]Ülevaade Overview'!$AG29-AR30-AQ30</f>
        <v>-4011643.5400000066</v>
      </c>
      <c r="AT30" s="12">
        <f>'[48]Ülevaade Overview'!$AG29-AS30-AR30-AQ30</f>
        <v>63537354.69999999</v>
      </c>
      <c r="AU30" s="12">
        <f>'[49]Ülevaade Overview'!$AJ29</f>
        <v>-35605256.70999999</v>
      </c>
      <c r="AV30" s="12">
        <f>'[50]Ülevaade Overview'!$AJ29-AU30</f>
        <v>-8757962.61999999</v>
      </c>
      <c r="AW30" s="12">
        <f>'[51]Ülevaade Overview'!$AJ29-AV30-AU30</f>
        <v>3376378.279999979</v>
      </c>
      <c r="AX30" s="12" t="e">
        <f>#REF!-AW30-AV30-AU30</f>
        <v>#REF!</v>
      </c>
      <c r="AY30" s="12" t="e">
        <f>#REF!</f>
        <v>#REF!</v>
      </c>
      <c r="AZ30" s="12"/>
      <c r="BA30" s="12"/>
      <c r="BB30" s="12"/>
      <c r="BD30" s="13">
        <v>2015</v>
      </c>
      <c r="BE30" s="36" t="e">
        <f>SUM($BE14:BE14)/$BI14</f>
        <v>#REF!</v>
      </c>
      <c r="BF30" s="36" t="e">
        <f>SUM($BE14:BF14)/$BI14</f>
        <v>#REF!</v>
      </c>
      <c r="BG30" s="36" t="e">
        <f>SUM($BE14:BG14)/$BI14</f>
        <v>#REF!</v>
      </c>
      <c r="BH30" s="36" t="e">
        <f>SUM($BE14:BH14)/$BI14</f>
        <v>#REF!</v>
      </c>
      <c r="BK30" s="10" t="s">
        <v>290</v>
      </c>
      <c r="BS30" s="15">
        <f>'[14]Koond'!$H$228+'[14]Koond'!$H$243+'[14]Koond'!$H$358+BS18-BS29</f>
        <v>-0.0006949901580810547</v>
      </c>
      <c r="BT30" s="15">
        <f>'[41]Koond'!E50-'[41]Koond'!E52+'[41]Koond'!E53+BT18-BT29</f>
        <v>-4263.0199999809265</v>
      </c>
      <c r="BU30" s="15">
        <f>'[18]Ülevaade Overview'!AD40-BU29-'[18]Koond'!E51</f>
        <v>3.5762786865234375E-07</v>
      </c>
      <c r="BV30" s="15"/>
      <c r="BW30" s="15" t="e">
        <f>#REF!-BW29-#REF!</f>
        <v>#REF!</v>
      </c>
    </row>
    <row r="31" spans="1:72" ht="12.75">
      <c r="A31" s="22" t="s">
        <v>251</v>
      </c>
      <c r="B31" s="11" t="s">
        <v>252</v>
      </c>
      <c r="C31" s="12">
        <f>-'[2]Koond'!$H$237/15.6466</f>
        <v>-1464679.4012756764</v>
      </c>
      <c r="D31" s="12">
        <f>-'[20]Koond'!$H$237/15.6466-C31</f>
        <v>15502269.602892205</v>
      </c>
      <c r="E31" s="12">
        <f>-'[21]Koond'!$H$237/15.6466-D31-C31</f>
        <v>4341629.477899869</v>
      </c>
      <c r="F31" s="12">
        <f>-'[1]Koond'!$H$237/15.6466-SUM(C31:E31)</f>
        <v>-9405018.688403744</v>
      </c>
      <c r="G31" s="12">
        <f>-'[3]Ülevaade Overview (2)'!G26/15.6466*1000</f>
        <v>4915876.001244355</v>
      </c>
      <c r="H31" s="12">
        <f>-'[22]Koond'!$H$241/15.6466-G31</f>
        <v>41060788.23635359</v>
      </c>
      <c r="I31" s="12">
        <f>-'[23]Koond'!$H$241/15.6466-H31-G31</f>
        <v>17665175.417731013</v>
      </c>
      <c r="J31" s="12">
        <f>-'[3]Koond'!$H$241/15.6466-SUM(G31:I31)</f>
        <v>-37242447.1348408</v>
      </c>
      <c r="K31" s="12">
        <f>-'[43]Ülevaade Overview'!$F26/15.6466*1000</f>
        <v>31859862.312353116</v>
      </c>
      <c r="L31" s="12">
        <f>-'[44]Ülevaade Overview'!$F26/15.6466*1000-SUM(K31:K31)</f>
        <v>71695514.58933797</v>
      </c>
      <c r="M31" s="12">
        <f>-'[24]Ülevaade Overview'!$F26/15.6466*1000-SUM(K31:L31)</f>
        <v>-76644826.57980236</v>
      </c>
      <c r="N31" s="12">
        <f>-'[5]Ülevaade Overview'!$F26/15.6466*1000-SUM(K31:M31)</f>
        <v>20779811.293502897</v>
      </c>
      <c r="O31" s="12">
        <f>-'[7]Ülevaade Overview'!$G26/15.6466*1000</f>
        <v>29625123.75372781</v>
      </c>
      <c r="P31" s="12">
        <f>-'[25]Ülevaade Overview'!$G26/15.6466*1000-SUM(O31:O31)</f>
        <v>25135583.22247006</v>
      </c>
      <c r="Q31" s="12">
        <f>-'[26]Ülevaade Overview'!$G26/15.6466*1000-SUM(O31:P31)</f>
        <v>-13402220.759383999</v>
      </c>
      <c r="R31" s="12">
        <f>-'[6]Ülevaade Overview'!$G26/15.6466*1000-SUM(O31:Q31)</f>
        <v>-40115139.739815675</v>
      </c>
      <c r="S31" s="12">
        <f>-'[9]Ülevaade Overview'!$Q26/15.6466*1000</f>
        <v>16532674.357368367</v>
      </c>
      <c r="T31" s="12">
        <f>-'[27]Ülevaade Overview'!$Q26/15.6466*1000-SUM(S31:S31)</f>
        <v>-12304309.008985978</v>
      </c>
      <c r="U31" s="12">
        <f>-'[28]Ülevaade Overview'!$Q26/15.6466*1000-SUM(S31:T31)</f>
        <v>6703577.111960422</v>
      </c>
      <c r="V31" s="12">
        <f>-'[8]Ülevaade Overview'!$Q26/15.6466*1000-SUM(S31:U31)</f>
        <v>-18748087.548093542</v>
      </c>
      <c r="W31" s="12">
        <f>-'[11]Ülevaade Overview'!$T26/15.6466*1000</f>
        <v>7828879.500338736</v>
      </c>
      <c r="X31" s="12">
        <f>-'[29]Ülevaade Overview'!$T26/15.6466*1000-SUM($W31:W31)</f>
        <v>-11280148.486188708</v>
      </c>
      <c r="Y31" s="12">
        <f>-'[30]Ülevaade Overview'!$T26/15.6466*1000-SUM($W31:X31)</f>
        <v>-11943847.28158192</v>
      </c>
      <c r="Z31" s="12">
        <f>-'[10]Ülevaade Overview'!$T26/15.6466*1000-SUM($W31:Y31)</f>
        <v>-27717080.271752343</v>
      </c>
      <c r="AA31" s="12">
        <f>-'[13]Ülevaade Overview'!$W26/15.6466*1000</f>
        <v>-1899238.1475847748</v>
      </c>
      <c r="AB31" s="12">
        <f>-'[31]Ülevaade Overview'!$W26/15.6466*1000-SUM($AA31:AA31)</f>
        <v>5110340.960336425</v>
      </c>
      <c r="AC31" s="12">
        <f>-'[32]Ülevaade Overview'!$W26/15.6466*1000-SUM($AA31:AB31)</f>
        <v>11492766.16261681</v>
      </c>
      <c r="AD31" s="12">
        <f>-'[12]Ülevaade Overview'!$W26/15.6466*1000-SUM($AA31:AC31)</f>
        <v>5055306.079915101</v>
      </c>
      <c r="AE31" s="12">
        <f>-'[15]Ülevaade Overview'!$Z26</f>
        <v>-7821344.683304863</v>
      </c>
      <c r="AF31" s="12">
        <f>-'[33]Ülevaade Overview'!$Z26-SUM($AE31:AE31)</f>
        <v>16085694.589999981</v>
      </c>
      <c r="AG31" s="12">
        <f>-'[34]Ülevaade Overview'!$Z26-SUM($AE31:AF31)</f>
        <v>3641370.629000008</v>
      </c>
      <c r="AH31" s="12">
        <f>-'[14]Ülevaade Overview'!$Z26-SUM($AE31:AG31)</f>
        <v>10188092.609999968</v>
      </c>
      <c r="AI31" s="12">
        <f>'[17]Ülevaade Overview'!$AA30</f>
        <v>4680538.560000002</v>
      </c>
      <c r="AJ31" s="12">
        <f>'[35]Ülevaade Overview'!$AA30-AI31</f>
        <v>26709855.80245227</v>
      </c>
      <c r="AK31" s="12">
        <f>'[36]Ülevaade Overview'!$AA30-AJ31-AI31</f>
        <v>7871679.617547702</v>
      </c>
      <c r="AL31" s="12">
        <f>'[18]Ülevaade Overview'!$AA30-SUM(AI31:AK31)</f>
        <v>-36207423.70999996</v>
      </c>
      <c r="AM31" s="12">
        <f>'[19]Ülevaade Overview'!$AD30</f>
        <v>17453341.439999998</v>
      </c>
      <c r="AN31" s="12">
        <f>'[37]Ülevaade Overview'!$AD30-AM31</f>
        <v>12741047.990000006</v>
      </c>
      <c r="AO31" s="12">
        <f>'[38]Ülevaade Overview'!$AD30-AN31-AM31</f>
        <v>3968729.9100000076</v>
      </c>
      <c r="AP31" s="12">
        <f>'[18]Ülevaade Overview'!AD30-AO31-AN31-AM31</f>
        <v>-47276250.90000001</v>
      </c>
      <c r="AQ31" s="12">
        <f>'[42]Ülevaade Overview'!$AG30</f>
        <v>49914183.34000001</v>
      </c>
      <c r="AR31" s="12">
        <f>'[45]Ülevaade Overview'!$AG30-AQ31</f>
        <v>7720518.169999987</v>
      </c>
      <c r="AS31" s="12">
        <f>'[46]Ülevaade Overview'!$AG30-AR31-AQ31</f>
        <v>-25253078.930000003</v>
      </c>
      <c r="AT31" s="12">
        <f>'[48]Ülevaade Overview'!$AG30-AS31-AR31-AQ31</f>
        <v>30120354.60000003</v>
      </c>
      <c r="AU31" s="12">
        <f>'[49]Ülevaade Overview'!$AJ30</f>
        <v>-461428.1000000192</v>
      </c>
      <c r="AV31" s="12">
        <f>'[50]Ülevaade Overview'!$AJ30-AU31</f>
        <v>17733226.75999999</v>
      </c>
      <c r="AW31" s="12">
        <f>'[51]Ülevaade Overview'!$AJ30-AV31-AU31</f>
        <v>-5710136.439999978</v>
      </c>
      <c r="AX31" s="12" t="e">
        <f>#REF!-AW31-AV31-AU31</f>
        <v>#REF!</v>
      </c>
      <c r="AY31" s="12" t="e">
        <f>#REF!</f>
        <v>#REF!</v>
      </c>
      <c r="AZ31" s="12"/>
      <c r="BA31" s="12"/>
      <c r="BB31" s="12"/>
      <c r="BS31" s="15"/>
      <c r="BT31" s="15"/>
    </row>
    <row r="32" spans="1:75" ht="12.75">
      <c r="A32" s="22" t="s">
        <v>253</v>
      </c>
      <c r="B32" s="22" t="s">
        <v>254</v>
      </c>
      <c r="C32" s="12"/>
      <c r="D32" s="12"/>
      <c r="E32" s="12"/>
      <c r="F32" s="12"/>
      <c r="G32" s="12"/>
      <c r="H32" s="12"/>
      <c r="I32" s="12"/>
      <c r="J32" s="12">
        <f>'[3]Koond'!$H$355/15.6466</f>
        <v>18054463.646415196</v>
      </c>
      <c r="K32" s="12">
        <f>'[43]Ülevaade Overview'!$F21/15.6466*1000</f>
        <v>0</v>
      </c>
      <c r="L32" s="12">
        <f>'[44]Ülevaade Overview'!$F21/15.6466*1000-SUM(K32:K32)</f>
        <v>0</v>
      </c>
      <c r="M32" s="12">
        <f>'[24]Ülevaade Overview'!$F21/15.6466*1000-SUM(K32:L32)</f>
        <v>0</v>
      </c>
      <c r="N32" s="12">
        <f>'[5]Ülevaade Overview'!$F21/15.6466*1000-SUM(K32:M32)</f>
        <v>31268441.887055334</v>
      </c>
      <c r="O32" s="12">
        <f>'[7]Ülevaade Overview'!$G21/15.6466*1000</f>
        <v>828656.4678588319</v>
      </c>
      <c r="P32" s="12">
        <f>'[25]Ülevaade Overview'!$G21/15.6466*1000-SUM(O32:O32)</f>
        <v>-12067635.833983103</v>
      </c>
      <c r="Q32" s="12">
        <f>'[26]Ülevaade Overview'!$G21/15.6466*1000-SUM(O32:P32)</f>
        <v>5446415.964490688</v>
      </c>
      <c r="R32" s="12">
        <f>'[6]Ülevaade Overview'!$G21/15.6466*1000-SUM(O32:Q32)</f>
        <v>4076095.3951657233</v>
      </c>
      <c r="S32" s="12">
        <f>'[9]Ülevaade Overview'!$Q21/15.6466*1000</f>
        <v>-2692828.1888717036</v>
      </c>
      <c r="T32" s="12">
        <f>'[27]Ülevaade Overview'!$Q21/15.6466*1000-SUM(S32:S32)</f>
        <v>-1427222.3722725706</v>
      </c>
      <c r="U32" s="12">
        <f>'[28]Ülevaade Overview'!$Q21/15.6466*1000-SUM(S32:T32)</f>
        <v>3913316.4943182543</v>
      </c>
      <c r="V32" s="12">
        <f>'[8]Ülevaade Overview'!$Q21/15.6466*1000-SUM(S32:U32)</f>
        <v>6930091.400048573</v>
      </c>
      <c r="W32" s="12">
        <f>'[11]Ülevaade Overview'!$T21/15.6466*1000</f>
        <v>-6254750.659568214</v>
      </c>
      <c r="X32" s="12">
        <f>'[29]Ülevaade Overview'!$T21/15.6466*1000-SUM($W32:W32)</f>
        <v>-18671857.82853783</v>
      </c>
      <c r="Y32" s="12">
        <f>'[30]Ülevaade Overview'!$T21/15.6466*1000-SUM($W32:X32)</f>
        <v>7382997.612899926</v>
      </c>
      <c r="Z32" s="12">
        <f>'[10]Ülevaade Overview'!$T21/15.6466*1000-SUM($W32:Y32)</f>
        <v>7801403.5439009145</v>
      </c>
      <c r="AA32" s="12">
        <f>'[13]Ülevaade Overview'!$W21/15.6466*1000</f>
        <v>-2029267.2318586789</v>
      </c>
      <c r="AB32" s="12">
        <f>'[31]Ülevaade Overview'!$W21/15.6466*1000-SUM($AA32:AA32)</f>
        <v>-18945087.207444433</v>
      </c>
      <c r="AC32" s="12">
        <f>'[32]Ülevaade Overview'!$W21/15.6466*1000-SUM($AA32:AB32)</f>
        <v>14578640.642695542</v>
      </c>
      <c r="AD32" s="12">
        <f>'[12]Ülevaade Overview'!$W21/15.6466*1000-SUM($AA32:AC32)</f>
        <v>12092167.070162207</v>
      </c>
      <c r="AE32" s="12">
        <f>'[15]Ülevaade Overview'!$Z21</f>
        <v>-4163575.83</v>
      </c>
      <c r="AF32" s="12">
        <f>'[33]Ülevaade Overview'!$Z21-SUM($AE32:AE32)</f>
        <v>-17969307.619999997</v>
      </c>
      <c r="AG32" s="12">
        <f>'[34]Ülevaade Overview'!$Z21-SUM($AE32:AF32)</f>
        <v>10068697.229999995</v>
      </c>
      <c r="AH32" s="12">
        <f>'[14]Ülevaade Overview'!$Z21-SUM($AE32:AG32)</f>
        <v>13503211.59</v>
      </c>
      <c r="AI32" s="12">
        <f>'[17]Ülevaade Overview'!$AA31</f>
        <v>-10787846.670000002</v>
      </c>
      <c r="AJ32" s="12">
        <f>'[35]Ülevaade Overview'!$AA31-AI32</f>
        <v>-11205369.89</v>
      </c>
      <c r="AK32" s="12">
        <f>'[36]Ülevaade Overview'!$AA31-AJ32-AI32</f>
        <v>19121384.300000004</v>
      </c>
      <c r="AL32" s="12">
        <f>'[18]Ülevaade Overview'!$AA31-SUM(AI32:AK32)</f>
        <v>9036892.789999997</v>
      </c>
      <c r="AM32" s="12">
        <f>'[19]Ülevaade Overview'!$AD31</f>
        <v>-9647636.090000011</v>
      </c>
      <c r="AN32" s="12">
        <f>'[37]Ülevaade Overview'!$AD31-AM32</f>
        <v>1426161.270000034</v>
      </c>
      <c r="AO32" s="12">
        <f>'[38]Ülevaade Overview'!$AD31-AN32-AM32</f>
        <v>14172145.620000629</v>
      </c>
      <c r="AP32" s="12">
        <f>'[18]Ülevaade Overview'!AD31-AO32-AN32-AM32</f>
        <v>-4874605.820001338</v>
      </c>
      <c r="AQ32" s="12">
        <f>'[42]Ülevaade Overview'!$AG31</f>
        <v>-23688954.56000007</v>
      </c>
      <c r="AR32" s="12">
        <f>'[45]Ülevaade Overview'!$AG31-AQ32</f>
        <v>-7370441.589999944</v>
      </c>
      <c r="AS32" s="12">
        <f>'[46]Ülevaade Overview'!$AG31-AR32-AQ32</f>
        <v>9971724.630000103</v>
      </c>
      <c r="AT32" s="12">
        <f>'[48]Ülevaade Overview'!$AG31-AS32-AR32-AQ32</f>
        <v>10887812.049999628</v>
      </c>
      <c r="AU32" s="12">
        <f>'[49]Ülevaade Overview'!$AJ31</f>
        <v>-21395287.59</v>
      </c>
      <c r="AV32" s="12">
        <f>'[50]Ülevaade Overview'!$AJ31-AU32</f>
        <v>7775004.649999946</v>
      </c>
      <c r="AW32" s="12">
        <f>'[51]Ülevaade Overview'!$AJ31-AV32-AU32</f>
        <v>1153972.7100000493</v>
      </c>
      <c r="AX32" s="12" t="e">
        <f>#REF!-AW32-AV32-AU32</f>
        <v>#REF!</v>
      </c>
      <c r="AY32" s="12" t="e">
        <f>#REF!</f>
        <v>#REF!</v>
      </c>
      <c r="AZ32" s="12"/>
      <c r="BA32" s="12"/>
      <c r="BB32" s="12"/>
      <c r="BK32" s="35" t="s">
        <v>291</v>
      </c>
      <c r="BL32" s="34">
        <v>2004</v>
      </c>
      <c r="BM32" s="34">
        <v>2005</v>
      </c>
      <c r="BN32" s="34">
        <v>2006</v>
      </c>
      <c r="BO32" s="34">
        <v>2007</v>
      </c>
      <c r="BP32" s="34">
        <v>2008</v>
      </c>
      <c r="BQ32" s="34">
        <v>2009</v>
      </c>
      <c r="BR32" s="34">
        <v>2010</v>
      </c>
      <c r="BS32" s="34">
        <v>2011</v>
      </c>
      <c r="BT32" s="34">
        <v>2012</v>
      </c>
      <c r="BU32" s="34">
        <v>2013</v>
      </c>
      <c r="BV32" s="34">
        <v>2014</v>
      </c>
      <c r="BW32" s="34">
        <v>2015</v>
      </c>
    </row>
    <row r="33" spans="1:75" ht="12.75">
      <c r="A33" s="18"/>
      <c r="B33" s="13"/>
      <c r="C33" s="24">
        <f aca="true" t="shared" si="16" ref="C33:AN33">C30-C31+C32+C29</f>
        <v>-0.00017360690981149673</v>
      </c>
      <c r="D33" s="24">
        <f t="shared" si="16"/>
        <v>438959.32688909397</v>
      </c>
      <c r="E33" s="24">
        <f t="shared" si="16"/>
        <v>-438959.3265570123</v>
      </c>
      <c r="F33" s="24">
        <f t="shared" si="16"/>
        <v>-6.537884473800659E-05</v>
      </c>
      <c r="G33" s="24">
        <f t="shared" si="16"/>
        <v>-6.841402500867844E-05</v>
      </c>
      <c r="H33" s="24">
        <f t="shared" si="16"/>
        <v>-59806.50037251413</v>
      </c>
      <c r="I33" s="24">
        <f t="shared" si="16"/>
        <v>32689.736986156553</v>
      </c>
      <c r="J33" s="24">
        <f t="shared" si="16"/>
        <v>27116.177700042725</v>
      </c>
      <c r="K33" s="24">
        <f t="shared" si="16"/>
        <v>34822.97141465545</v>
      </c>
      <c r="L33" s="24">
        <f t="shared" si="16"/>
        <v>-34822.93952257931</v>
      </c>
      <c r="M33" s="24">
        <f t="shared" si="16"/>
        <v>-0.03198552131652832</v>
      </c>
      <c r="N33" s="24">
        <f t="shared" si="16"/>
        <v>0.06413374841213226</v>
      </c>
      <c r="O33" s="24">
        <f t="shared" si="16"/>
        <v>0.0003145858645439148</v>
      </c>
      <c r="P33" s="24">
        <f t="shared" si="16"/>
        <v>-1.1920928955078125E-07</v>
      </c>
      <c r="Q33" s="24">
        <f t="shared" si="16"/>
        <v>5.211681127548218E-06</v>
      </c>
      <c r="R33" s="24">
        <f t="shared" si="16"/>
        <v>-0.00031957030296325684</v>
      </c>
      <c r="S33" s="24">
        <f t="shared" si="16"/>
        <v>-6.393902003765106E-05</v>
      </c>
      <c r="T33" s="24">
        <f t="shared" si="16"/>
        <v>6.398092955350876E-05</v>
      </c>
      <c r="U33" s="24">
        <f t="shared" si="16"/>
        <v>-0.00019197911024093628</v>
      </c>
      <c r="V33" s="24">
        <f t="shared" si="16"/>
        <v>0.00019174814224243164</v>
      </c>
      <c r="W33" s="24">
        <f t="shared" si="16"/>
        <v>4.470348358154297E-08</v>
      </c>
      <c r="X33" s="24">
        <f t="shared" si="16"/>
        <v>0.00047498010098934174</v>
      </c>
      <c r="Y33" s="24">
        <f t="shared" si="16"/>
        <v>-0.00047492608428001404</v>
      </c>
      <c r="Z33" s="24">
        <f t="shared" si="16"/>
        <v>-4.6566128730773926E-07</v>
      </c>
      <c r="AA33" s="24">
        <f t="shared" si="16"/>
        <v>0.0001276899129152298</v>
      </c>
      <c r="AB33" s="24">
        <f t="shared" si="16"/>
        <v>-0.00012753158807754517</v>
      </c>
      <c r="AC33" s="24">
        <f t="shared" si="16"/>
        <v>-6.891787052154541E-08</v>
      </c>
      <c r="AD33" s="24">
        <f t="shared" si="16"/>
        <v>-0.00010884925723075867</v>
      </c>
      <c r="AE33" s="24">
        <f t="shared" si="16"/>
        <v>0.004304806236177683</v>
      </c>
      <c r="AF33" s="24">
        <f t="shared" si="16"/>
        <v>-0.00799984484910965</v>
      </c>
      <c r="AG33" s="24">
        <f t="shared" si="16"/>
        <v>0.008999966084957123</v>
      </c>
      <c r="AH33" s="24">
        <f t="shared" si="16"/>
        <v>-0.005999980494379997</v>
      </c>
      <c r="AI33" s="24">
        <f t="shared" si="16"/>
        <v>-0.0015700794756412506</v>
      </c>
      <c r="AJ33" s="24">
        <f t="shared" si="16"/>
        <v>0.004570014774799347</v>
      </c>
      <c r="AK33" s="24">
        <f t="shared" si="16"/>
        <v>-0.002000126987695694</v>
      </c>
      <c r="AL33" s="24">
        <f t="shared" si="16"/>
        <v>-0.0009995624423027039</v>
      </c>
      <c r="AM33" s="24">
        <f t="shared" si="16"/>
        <v>-1.1548399925231934E-07</v>
      </c>
      <c r="AN33" s="24">
        <f t="shared" si="16"/>
        <v>1.341104507446289E-07</v>
      </c>
      <c r="AO33" s="24">
        <f aca="true" t="shared" si="17" ref="AO33:AT33">AO30-AO31+AO32+AO29</f>
        <v>4.76837158203125E-07</v>
      </c>
      <c r="AP33" s="24">
        <f t="shared" si="17"/>
        <v>-1.2069940567016602E-06</v>
      </c>
      <c r="AQ33" s="24">
        <f t="shared" si="17"/>
        <v>0</v>
      </c>
      <c r="AR33" s="24">
        <f t="shared" si="17"/>
        <v>-1.1548399925231934E-07</v>
      </c>
      <c r="AS33" s="24">
        <f t="shared" si="17"/>
        <v>-3.725290298461914E-08</v>
      </c>
      <c r="AT33" s="24">
        <f t="shared" si="17"/>
        <v>-3.5762786865234375E-07</v>
      </c>
      <c r="AU33" s="24">
        <f>AU30-AU31+AU32+AU29</f>
        <v>0</v>
      </c>
      <c r="AV33" s="24">
        <f>AV30-AV31+AV32+AV29</f>
        <v>0</v>
      </c>
      <c r="AW33" s="24">
        <f>AW30-AW31+AW32+AW29</f>
        <v>-2.9802322387695312E-08</v>
      </c>
      <c r="AX33" s="24" t="e">
        <f>AX30-AX31+AX32+AX29</f>
        <v>#REF!</v>
      </c>
      <c r="AY33" s="24" t="e">
        <f>AY30-AY31+AY32+AY29</f>
        <v>#REF!</v>
      </c>
      <c r="AZ33" s="24"/>
      <c r="BA33" s="24"/>
      <c r="BB33" s="24"/>
      <c r="BK33" s="13" t="s">
        <v>292</v>
      </c>
      <c r="BL33" s="14"/>
      <c r="BM33" s="14"/>
      <c r="BN33" s="14"/>
      <c r="BO33" s="14"/>
      <c r="BP33" s="14"/>
      <c r="BQ33" s="14"/>
      <c r="BR33" s="14"/>
      <c r="BS33" s="14"/>
      <c r="BT33" s="14">
        <f>'[41]Koond'!E56</f>
        <v>126057963.42379998</v>
      </c>
      <c r="BU33" s="14">
        <f>'[18]Koond'!E56</f>
        <v>137298030.85</v>
      </c>
      <c r="BV33" s="14">
        <f>'[48]Ülevaade kuuliselt'!$BQ33</f>
        <v>136932137.3</v>
      </c>
      <c r="BW33" s="14">
        <f>'[52]Ülevaade kuuliselt'!$BS33</f>
        <v>138656378.60000005</v>
      </c>
    </row>
    <row r="34" spans="1:75" ht="25.5">
      <c r="A34" s="21"/>
      <c r="B34" s="2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6"/>
      <c r="AB34" s="26"/>
      <c r="AC34" s="26"/>
      <c r="AD34" s="26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D34" s="33" t="s">
        <v>289</v>
      </c>
      <c r="BE34" s="34" t="s">
        <v>266</v>
      </c>
      <c r="BF34" s="34" t="s">
        <v>267</v>
      </c>
      <c r="BG34" s="34" t="s">
        <v>268</v>
      </c>
      <c r="BH34" s="34" t="s">
        <v>269</v>
      </c>
      <c r="BI34" s="34" t="s">
        <v>196</v>
      </c>
      <c r="BJ34" s="15"/>
      <c r="BK34" s="13" t="s">
        <v>293</v>
      </c>
      <c r="BL34" s="14"/>
      <c r="BM34" s="14"/>
      <c r="BN34" s="14"/>
      <c r="BO34" s="14"/>
      <c r="BP34" s="14"/>
      <c r="BQ34" s="14"/>
      <c r="BR34" s="14"/>
      <c r="BS34" s="14"/>
      <c r="BT34" s="14">
        <f>'[41]Koond'!E68+'[41]Koond'!E91</f>
        <v>337507602.78999996</v>
      </c>
      <c r="BU34" s="14">
        <f>'[18]Koond'!E68+'[18]Koond'!E91</f>
        <v>372587139.4800001</v>
      </c>
      <c r="BV34" s="14">
        <f>'[48]Ülevaade kuuliselt'!$BQ34</f>
        <v>319645573.5</v>
      </c>
      <c r="BW34" s="14">
        <f>'[52]Ülevaade kuuliselt'!$BS34</f>
        <v>301662350.06</v>
      </c>
    </row>
    <row r="35" spans="1:75" ht="12.75">
      <c r="A35" s="25" t="s">
        <v>255</v>
      </c>
      <c r="B35" s="25" t="s">
        <v>256</v>
      </c>
      <c r="C35" s="27">
        <f>'[1]Ülevaade Overview (2)'!F28/15.6466*1000</f>
        <v>32031123.662648756</v>
      </c>
      <c r="D35" s="27">
        <f>'[1]Ülevaade Overview (2)'!I28/15.6466*1000</f>
        <v>47525732.8159864</v>
      </c>
      <c r="E35" s="27">
        <f>'[1]Ülevaade Overview (2)'!L28/15.6466*1000</f>
        <v>52050527.97141369</v>
      </c>
      <c r="F35" s="27">
        <f>'[1]Ülevaade Overview (2)'!O28/15.6466*1000</f>
        <v>42454194.22734289</v>
      </c>
      <c r="G35" s="27">
        <f>'[3]Ülevaade Overview (2)'!G28/15.6466*1000</f>
        <v>47285184.31599282</v>
      </c>
      <c r="H35" s="27">
        <f>'[3]Ülevaade Overview (2)'!J28/15.6466*1000</f>
        <v>94069967.65559292</v>
      </c>
      <c r="I35" s="27">
        <f>'[3]Ülevaade Overview (2)'!M28/15.6466*1000</f>
        <v>106074411.45735262</v>
      </c>
      <c r="J35" s="27">
        <f>'[3]Ülevaade Overview (2)'!P28/15.6466*1000</f>
        <v>68968823.4944725</v>
      </c>
      <c r="K35" s="27">
        <f>'[43]Ülevaade Overview'!$F28/15.6466*1000</f>
        <v>103383367.24880022</v>
      </c>
      <c r="L35" s="27">
        <f>'[44]Ülevaade Overview'!$F28/15.6466*1000</f>
        <v>175412788.56007555</v>
      </c>
      <c r="M35" s="27">
        <f>'[24]Ülevaade Overview'!$F28/15.6466*1000</f>
        <v>98767514.66101755</v>
      </c>
      <c r="N35" s="27">
        <f>'[5]Ülevaade Overview'!$F28/15.6466*1000</f>
        <v>116357670.27469225</v>
      </c>
      <c r="O35" s="27">
        <f>'[7]Ülevaade Overview'!$G28/15.6466*1000</f>
        <v>145700831.59760442</v>
      </c>
      <c r="P35" s="27">
        <f>'[25]Ülevaade Overview'!$G28/15.6466*1000</f>
        <v>170841406.64010566</v>
      </c>
      <c r="Q35" s="27">
        <f>'[26]Ülevaade Overview'!$G28/15.6466*1000</f>
        <v>157439166.1900988</v>
      </c>
      <c r="R35" s="27">
        <f>'[6]Ülevaade Overview'!$G28/15.6466*1000</f>
        <v>117329840.61840911</v>
      </c>
      <c r="S35" s="27">
        <f>'[9]Ülevaade Overview'!$Q28/15.6466*1000</f>
        <v>133811283.0314573</v>
      </c>
      <c r="T35" s="27">
        <f>'[27]Ülevaade Overview'!$Q28/15.6466*1000</f>
        <v>121506973.96201089</v>
      </c>
      <c r="U35" s="27">
        <f>'[28]Ülevaade Overview'!$Q28/15.6466*1000</f>
        <v>128317603.27675022</v>
      </c>
      <c r="V35" s="27">
        <f>'[8]Ülevaade Overview'!$Q28/15.6466*1000</f>
        <v>110061976.19866295</v>
      </c>
      <c r="W35" s="27">
        <f>'[11]Ülevaade Overview'!$T28/15.6466*1000</f>
        <v>117896083.39575371</v>
      </c>
      <c r="X35" s="27">
        <f>'[29]Ülevaade Overview'!$T28/15.6466*1000</f>
        <v>106615959.92202778</v>
      </c>
      <c r="Y35" s="27">
        <f>'[30]Ülevaade Overview'!$T28/15.6466*1000</f>
        <v>94682741.57324915</v>
      </c>
      <c r="Z35" s="27">
        <f>'[10]Ülevaade Overview'!$T28/15.6466*1000</f>
        <v>66950432.87743023</v>
      </c>
      <c r="AA35" s="27">
        <f>'[13]Ülevaade Overview'!$W28/15.6466*1000</f>
        <v>65050536.76581496</v>
      </c>
      <c r="AB35" s="27">
        <f>'[31]Ülevaade Overview'!$W28/15.6466*1000</f>
        <v>70155684.76346298</v>
      </c>
      <c r="AC35" s="27">
        <f>'[32]Ülevaade Overview'!$W28/15.6466*1000</f>
        <v>81648450.83468616</v>
      </c>
      <c r="AD35" s="27">
        <f>'[12]Ülevaade Overview'!$W28/15.6466*1000</f>
        <v>86702888.88256873</v>
      </c>
      <c r="AE35" s="27">
        <f>'[15]Ülevaade Overview'!$Z28</f>
        <v>78881532.55669513</v>
      </c>
      <c r="AF35" s="27">
        <f>'[33]Ülevaade Overview'!$Z28</f>
        <v>94967229.4766951</v>
      </c>
      <c r="AG35" s="27">
        <f>'[34]Ülevaade Overview'!$Z28</f>
        <v>98638443.83569512</v>
      </c>
      <c r="AH35" s="27">
        <f>'[14]Ülevaade Overview'!$Z28</f>
        <v>108797191.08569507</v>
      </c>
      <c r="AI35" s="27">
        <f>'[17]Ülevaade Overview'!$AA34</f>
        <v>113504388.59000002</v>
      </c>
      <c r="AJ35" s="27">
        <f>'[35]Ülevaade Overview'!$AA$34</f>
        <v>140200853.49999997</v>
      </c>
      <c r="AK35" s="27">
        <f>'[36]Ülevaade Overview'!$AA$34</f>
        <v>148074087.85</v>
      </c>
      <c r="AL35" s="27">
        <f>'[16]Koond'!E163</f>
        <v>111865370.17000002</v>
      </c>
      <c r="AM35" s="27">
        <f>'[19]Ülevaade Overview'!$AD34</f>
        <v>124541726.24000001</v>
      </c>
      <c r="AN35" s="27">
        <f>'[37]Ülevaade Overview'!$AD34</f>
        <v>142140697.29000002</v>
      </c>
      <c r="AO35" s="27">
        <f>'[38]Ülevaade Overview'!$AD34</f>
        <v>146135772.84</v>
      </c>
      <c r="AP35" s="12">
        <f>'[18]Ülevaade Overview'!AD34</f>
        <v>98702108.01999998</v>
      </c>
      <c r="AQ35" s="12">
        <f>'[42]Ülevaade Overview'!$AG34</f>
        <v>148774984.14</v>
      </c>
      <c r="AR35" s="12">
        <f>'[45]Ülevaade Overview'!$AG$34</f>
        <v>156538421.69000003</v>
      </c>
      <c r="AS35" s="12">
        <f>'[46]Ülevaade Overview'!$AG34</f>
        <v>131385504.30000004</v>
      </c>
      <c r="AT35" s="27">
        <f>'[48]Ülevaade Overview'!$AG34</f>
        <v>161316149.35999998</v>
      </c>
      <c r="AU35" s="27">
        <f>'[49]Ülevaade Overview'!$AJ34</f>
        <v>160933664.11000004</v>
      </c>
      <c r="AV35" s="27">
        <f>'[50]Ülevaade Overview'!$AJ34</f>
        <v>178666871.71</v>
      </c>
      <c r="AW35" s="27">
        <f>'[51]Ülevaade Overview'!$AJ34</f>
        <v>172954936.67999998</v>
      </c>
      <c r="AX35" s="27" t="e">
        <f>#REF!</f>
        <v>#REF!</v>
      </c>
      <c r="AY35" s="27" t="e">
        <f>#REF!</f>
        <v>#REF!</v>
      </c>
      <c r="AZ35" s="27"/>
      <c r="BA35" s="27"/>
      <c r="BB35" s="27"/>
      <c r="BD35" s="13">
        <v>2004</v>
      </c>
      <c r="BE35" s="14">
        <f>C14</f>
        <v>161688206.62078127</v>
      </c>
      <c r="BF35" s="14">
        <f>D14</f>
        <v>192789199.90140247</v>
      </c>
      <c r="BG35" s="14">
        <f>E14</f>
        <v>144498985.9477458</v>
      </c>
      <c r="BH35" s="14">
        <f>F14</f>
        <v>196838592.25838208</v>
      </c>
      <c r="BI35" s="14">
        <f aca="true" t="shared" si="18" ref="BI35:BI42">SUM(BE35:BH35)</f>
        <v>695814984.7283117</v>
      </c>
      <c r="BJ35" s="15"/>
      <c r="BK35" s="13" t="s">
        <v>168</v>
      </c>
      <c r="BL35" s="14"/>
      <c r="BM35" s="14"/>
      <c r="BN35" s="14"/>
      <c r="BO35" s="14"/>
      <c r="BP35" s="14"/>
      <c r="BQ35" s="14"/>
      <c r="BR35" s="14"/>
      <c r="BS35" s="14"/>
      <c r="BT35" s="14">
        <f>'[41]Koond'!E143</f>
        <v>123074065.35</v>
      </c>
      <c r="BU35" s="14">
        <f>'[18]Koond'!E145</f>
        <v>124538644.29</v>
      </c>
      <c r="BV35" s="14">
        <f>'[48]Ülevaade kuuliselt'!$BQ35</f>
        <v>122642119.76000002</v>
      </c>
      <c r="BW35" s="14">
        <f>'[52]Ülevaade kuuliselt'!$BS35</f>
        <v>130258417.51000004</v>
      </c>
    </row>
    <row r="36" spans="56:75" ht="12.75">
      <c r="BD36" s="13">
        <v>2005</v>
      </c>
      <c r="BE36" s="14">
        <f>G14</f>
        <v>184583617.0222285</v>
      </c>
      <c r="BF36" s="14">
        <f>H14</f>
        <v>159543009.04931426</v>
      </c>
      <c r="BG36" s="14">
        <f>I14</f>
        <v>224842685.61853695</v>
      </c>
      <c r="BH36" s="14">
        <f>J14</f>
        <v>200672733.5295847</v>
      </c>
      <c r="BI36" s="14">
        <f t="shared" si="18"/>
        <v>769642045.2196643</v>
      </c>
      <c r="BK36" s="13" t="s">
        <v>156</v>
      </c>
      <c r="BL36" s="14"/>
      <c r="BM36" s="14"/>
      <c r="BN36" s="14"/>
      <c r="BO36" s="14"/>
      <c r="BP36" s="14"/>
      <c r="BQ36" s="14"/>
      <c r="BR36" s="14"/>
      <c r="BS36" s="14"/>
      <c r="BT36" s="14">
        <f>'[41]Koond'!E129</f>
        <v>614205536.3700002</v>
      </c>
      <c r="BU36" s="14">
        <f>'[18]Koond'!E129</f>
        <v>655517987.7499999</v>
      </c>
      <c r="BV36" s="14">
        <f>'[48]Ülevaade kuuliselt'!$BQ36</f>
        <v>664455213.45</v>
      </c>
      <c r="BW36" s="14">
        <f>'[52]Ülevaade kuuliselt'!$BS36</f>
        <v>721246802.63</v>
      </c>
    </row>
    <row r="37" spans="1:75" ht="12.75">
      <c r="A37" s="28" t="s">
        <v>257</v>
      </c>
      <c r="B37" s="13" t="s">
        <v>258</v>
      </c>
      <c r="C37" s="36"/>
      <c r="D37" s="36"/>
      <c r="E37" s="36"/>
      <c r="F37" s="36"/>
      <c r="G37" s="36">
        <f>G3/C3-1</f>
        <v>0.1722979735624497</v>
      </c>
      <c r="H37" s="36">
        <f>H3/D3-1</f>
        <v>-0.014450216249567882</v>
      </c>
      <c r="I37" s="36">
        <f>I3/E3-1</f>
        <v>0.3532915341887508</v>
      </c>
      <c r="J37" s="36">
        <f aca="true" t="shared" si="19" ref="J37:AP37">J3/F3-1</f>
        <v>0.10795885864515742</v>
      </c>
      <c r="K37" s="36">
        <f t="shared" si="19"/>
        <v>0.16102967482417618</v>
      </c>
      <c r="L37" s="36">
        <f t="shared" si="19"/>
        <v>0.3163960930632119</v>
      </c>
      <c r="M37" s="36">
        <f t="shared" si="19"/>
        <v>0.012720660357013358</v>
      </c>
      <c r="N37" s="36">
        <f t="shared" si="19"/>
        <v>0.12354392818825066</v>
      </c>
      <c r="O37" s="36">
        <f t="shared" si="19"/>
        <v>0.1707883854313974</v>
      </c>
      <c r="P37" s="36">
        <f t="shared" si="19"/>
        <v>0.20229616097657144</v>
      </c>
      <c r="Q37" s="36">
        <f t="shared" si="19"/>
        <v>0.20636779597164212</v>
      </c>
      <c r="R37" s="36">
        <f t="shared" si="19"/>
        <v>0.16745715157914343</v>
      </c>
      <c r="S37" s="36">
        <f t="shared" si="19"/>
        <v>0.1913790360963188</v>
      </c>
      <c r="T37" s="36">
        <f t="shared" si="19"/>
        <v>0.153488429155759</v>
      </c>
      <c r="U37" s="36">
        <f t="shared" si="19"/>
        <v>0.165464022478079</v>
      </c>
      <c r="V37" s="36">
        <f t="shared" si="19"/>
        <v>0.10974601669386574</v>
      </c>
      <c r="W37" s="36">
        <f t="shared" si="19"/>
        <v>-0.06740065043852206</v>
      </c>
      <c r="X37" s="36">
        <f t="shared" si="19"/>
        <v>-0.11541031887662923</v>
      </c>
      <c r="Y37" s="36">
        <f t="shared" si="19"/>
        <v>-0.1350617185666928</v>
      </c>
      <c r="Z37" s="36">
        <f t="shared" si="19"/>
        <v>-0.12719821022783362</v>
      </c>
      <c r="AA37" s="36">
        <f t="shared" si="19"/>
        <v>-0.09331640190075619</v>
      </c>
      <c r="AB37" s="36">
        <f t="shared" si="19"/>
        <v>-0.022632578400450187</v>
      </c>
      <c r="AC37" s="36">
        <f t="shared" si="19"/>
        <v>-0.06451204537845645</v>
      </c>
      <c r="AD37" s="36">
        <f t="shared" si="19"/>
        <v>0.0863198882688625</v>
      </c>
      <c r="AE37" s="36">
        <f t="shared" si="19"/>
        <v>0.04585838334306702</v>
      </c>
      <c r="AF37" s="36">
        <f t="shared" si="19"/>
        <v>0.054121485691582594</v>
      </c>
      <c r="AG37" s="36">
        <f t="shared" si="19"/>
        <v>0.05539611729025884</v>
      </c>
      <c r="AH37" s="36">
        <f t="shared" si="19"/>
        <v>0.02750919115775874</v>
      </c>
      <c r="AI37" s="36">
        <f t="shared" si="19"/>
        <v>0.09079578629687135</v>
      </c>
      <c r="AJ37" s="36">
        <f t="shared" si="19"/>
        <v>0.0346001001296099</v>
      </c>
      <c r="AK37" s="36">
        <f t="shared" si="19"/>
        <v>0.036327998059260125</v>
      </c>
      <c r="AL37" s="36">
        <f t="shared" si="19"/>
        <v>0.010347718011374019</v>
      </c>
      <c r="AM37" s="36">
        <f t="shared" si="19"/>
        <v>0.07943390761209246</v>
      </c>
      <c r="AN37" s="36">
        <f t="shared" si="19"/>
        <v>0.062339951213596034</v>
      </c>
      <c r="AO37" s="36">
        <f t="shared" si="19"/>
        <v>0.0032721597740166253</v>
      </c>
      <c r="AP37" s="36">
        <f t="shared" si="19"/>
        <v>0.06924730063257156</v>
      </c>
      <c r="AQ37" s="36">
        <f aca="true" t="shared" si="20" ref="AQ37:AX37">AQ3/AM3-1</f>
        <v>0.10262133564994835</v>
      </c>
      <c r="AR37" s="36">
        <f t="shared" si="20"/>
        <v>0.012926787396760453</v>
      </c>
      <c r="AS37" s="36">
        <f t="shared" si="20"/>
        <v>0.060183329641909866</v>
      </c>
      <c r="AT37" s="36">
        <f t="shared" si="20"/>
        <v>0.05095806850179785</v>
      </c>
      <c r="AU37" s="36">
        <f t="shared" si="20"/>
        <v>0.08758943938612962</v>
      </c>
      <c r="AV37" s="36">
        <f t="shared" si="20"/>
        <v>0.06024277178714432</v>
      </c>
      <c r="AW37" s="36">
        <f t="shared" si="20"/>
        <v>0.09364625942172444</v>
      </c>
      <c r="AX37" s="36" t="e">
        <f t="shared" si="20"/>
        <v>#REF!</v>
      </c>
      <c r="AY37" s="36" t="e">
        <f>AY3/AU3-1</f>
        <v>#REF!</v>
      </c>
      <c r="AZ37" s="36"/>
      <c r="BA37" s="36"/>
      <c r="BB37" s="36"/>
      <c r="BD37" s="13">
        <v>2006</v>
      </c>
      <c r="BE37" s="14">
        <f>K14</f>
        <v>197220647.44417316</v>
      </c>
      <c r="BF37" s="14">
        <f>L14</f>
        <v>234527656.67947024</v>
      </c>
      <c r="BG37" s="14">
        <f>M14</f>
        <v>177074814.878568</v>
      </c>
      <c r="BH37" s="14">
        <f>N14</f>
        <v>254548853.22306436</v>
      </c>
      <c r="BI37" s="14">
        <f t="shared" si="18"/>
        <v>863371972.2252758</v>
      </c>
      <c r="BK37" s="13" t="s">
        <v>134</v>
      </c>
      <c r="BL37" s="14"/>
      <c r="BM37" s="14"/>
      <c r="BN37" s="14"/>
      <c r="BO37" s="14"/>
      <c r="BP37" s="14"/>
      <c r="BQ37" s="14"/>
      <c r="BR37" s="14"/>
      <c r="BS37" s="14"/>
      <c r="BT37" s="14">
        <f>'[41]Koond'!E105</f>
        <v>166295396.67299998</v>
      </c>
      <c r="BU37" s="14">
        <f>'[18]Koond'!E105</f>
        <v>202498624.37000003</v>
      </c>
      <c r="BV37" s="14">
        <f>'[48]Ülevaade kuuliselt'!$BQ37</f>
        <v>207662573.43999997</v>
      </c>
      <c r="BW37" s="14">
        <f>'[52]Ülevaade kuuliselt'!$BS37</f>
        <v>204501160.61</v>
      </c>
    </row>
    <row r="38" spans="1:75" ht="12.75">
      <c r="A38" s="13" t="s">
        <v>259</v>
      </c>
      <c r="B38" s="13" t="s">
        <v>260</v>
      </c>
      <c r="C38" s="36"/>
      <c r="D38" s="36"/>
      <c r="E38" s="36"/>
      <c r="F38" s="36"/>
      <c r="G38" s="36">
        <f>G14/C14-1</f>
        <v>0.14160222863467986</v>
      </c>
      <c r="H38" s="36">
        <f>H14/D14-1</f>
        <v>-0.17244840929414718</v>
      </c>
      <c r="I38" s="36">
        <f>I14/E14-1</f>
        <v>0.5560156643579859</v>
      </c>
      <c r="J38" s="36">
        <f aca="true" t="shared" si="21" ref="J38:AP38">J14/F14-1</f>
        <v>0.019478605425960804</v>
      </c>
      <c r="K38" s="36">
        <f t="shared" si="21"/>
        <v>0.06846236207638534</v>
      </c>
      <c r="L38" s="36">
        <f t="shared" si="21"/>
        <v>0.4699964484622354</v>
      </c>
      <c r="M38" s="36">
        <f t="shared" si="21"/>
        <v>-0.21245018759921264</v>
      </c>
      <c r="N38" s="36">
        <f t="shared" si="21"/>
        <v>0.268477529287938</v>
      </c>
      <c r="O38" s="36">
        <f t="shared" si="21"/>
        <v>0.16036699599923088</v>
      </c>
      <c r="P38" s="36">
        <f t="shared" si="21"/>
        <v>0.16003595803163662</v>
      </c>
      <c r="Q38" s="36">
        <f t="shared" si="21"/>
        <v>0.22289151749735892</v>
      </c>
      <c r="R38" s="36">
        <f t="shared" si="21"/>
        <v>0.18213962348474344</v>
      </c>
      <c r="S38" s="36">
        <f t="shared" si="21"/>
        <v>0.2184583785057348</v>
      </c>
      <c r="T38" s="36">
        <f t="shared" si="21"/>
        <v>0.20951858238568066</v>
      </c>
      <c r="U38" s="36">
        <f t="shared" si="21"/>
        <v>0.18665432770514023</v>
      </c>
      <c r="V38" s="36">
        <f t="shared" si="21"/>
        <v>0.11417320503225725</v>
      </c>
      <c r="W38" s="36">
        <f t="shared" si="21"/>
        <v>0.038169253995235186</v>
      </c>
      <c r="X38" s="36">
        <f t="shared" si="21"/>
        <v>-0.10597591633760794</v>
      </c>
      <c r="Y38" s="36">
        <f t="shared" si="21"/>
        <v>-0.006479615271533179</v>
      </c>
      <c r="Z38" s="36">
        <f t="shared" si="21"/>
        <v>-0.14202158409806487</v>
      </c>
      <c r="AA38" s="36">
        <f t="shared" si="21"/>
        <v>-0.05531578964833983</v>
      </c>
      <c r="AB38" s="36">
        <f t="shared" si="21"/>
        <v>-0.059988453488605264</v>
      </c>
      <c r="AC38" s="36">
        <f t="shared" si="21"/>
        <v>-0.09229981273803045</v>
      </c>
      <c r="AD38" s="36">
        <f t="shared" si="21"/>
        <v>0.007731275536391191</v>
      </c>
      <c r="AE38" s="36">
        <f t="shared" si="21"/>
        <v>0.04457645564156154</v>
      </c>
      <c r="AF38" s="36">
        <f t="shared" si="21"/>
        <v>0.020188989531602752</v>
      </c>
      <c r="AG38" s="36">
        <f t="shared" si="21"/>
        <v>0.047702722207822346</v>
      </c>
      <c r="AH38" s="36">
        <f t="shared" si="21"/>
        <v>0.042721918718640506</v>
      </c>
      <c r="AI38" s="36">
        <f t="shared" si="21"/>
        <v>-0.028596360014482736</v>
      </c>
      <c r="AJ38" s="36">
        <f t="shared" si="21"/>
        <v>0.03511088342223334</v>
      </c>
      <c r="AK38" s="36">
        <f t="shared" si="21"/>
        <v>0.08458819593090317</v>
      </c>
      <c r="AL38" s="36">
        <f t="shared" si="21"/>
        <v>0.030545277009208505</v>
      </c>
      <c r="AM38" s="36">
        <f t="shared" si="21"/>
        <v>0.07349786584604501</v>
      </c>
      <c r="AN38" s="36">
        <f t="shared" si="21"/>
        <v>0.11057063144731005</v>
      </c>
      <c r="AO38" s="36">
        <f t="shared" si="21"/>
        <v>-0.0331380244512508</v>
      </c>
      <c r="AP38" s="36">
        <f t="shared" si="21"/>
        <v>0.07435520016102215</v>
      </c>
      <c r="AQ38" s="36">
        <f aca="true" t="shared" si="22" ref="AQ38:AX38">AQ14/AM14-1</f>
        <v>0.040216400946307296</v>
      </c>
      <c r="AR38" s="36">
        <f t="shared" si="22"/>
        <v>0.046074553707855515</v>
      </c>
      <c r="AS38" s="36">
        <f t="shared" si="22"/>
        <v>0.058484623051719975</v>
      </c>
      <c r="AT38" s="36">
        <f t="shared" si="22"/>
        <v>0.0486659286903004</v>
      </c>
      <c r="AU38" s="36">
        <f t="shared" si="22"/>
        <v>0.06666992475547251</v>
      </c>
      <c r="AV38" s="36">
        <f t="shared" si="22"/>
        <v>0.05374855302357462</v>
      </c>
      <c r="AW38" s="36">
        <f t="shared" si="22"/>
        <v>0.07424215685467139</v>
      </c>
      <c r="AX38" s="36" t="e">
        <f t="shared" si="22"/>
        <v>#REF!</v>
      </c>
      <c r="AY38" s="36" t="e">
        <f>AY14/AU14-1</f>
        <v>#REF!</v>
      </c>
      <c r="AZ38" s="36"/>
      <c r="BA38" s="36"/>
      <c r="BB38" s="36"/>
      <c r="BD38" s="13">
        <v>2007</v>
      </c>
      <c r="BE38" s="14">
        <f>O14</f>
        <v>228848330.2238186</v>
      </c>
      <c r="BF38" s="14">
        <f>P14</f>
        <v>272060514.901084</v>
      </c>
      <c r="BG38" s="14">
        <f>Q14</f>
        <v>216543289.0774159</v>
      </c>
      <c r="BH38" s="14">
        <f>R14</f>
        <v>300912285.50758654</v>
      </c>
      <c r="BI38" s="14">
        <f t="shared" si="18"/>
        <v>1018364419.7099051</v>
      </c>
      <c r="BK38" s="13" t="s">
        <v>294</v>
      </c>
      <c r="BL38" s="14"/>
      <c r="BM38" s="14"/>
      <c r="BN38" s="14"/>
      <c r="BO38" s="14"/>
      <c r="BP38" s="14"/>
      <c r="BQ38" s="14"/>
      <c r="BR38" s="14"/>
      <c r="BS38" s="14"/>
      <c r="BT38" s="14">
        <f>'[41]Koond'!E98+'[41]Koond'!E85+'[41]Koond'!E64+'[41]Koond'!E63</f>
        <v>59651388.03</v>
      </c>
      <c r="BU38" s="14">
        <f>'[18]Koond'!E63+'[18]Koond'!E64+'[18]Koond'!E85+'[18]Koond'!E98</f>
        <v>70163735.69000001</v>
      </c>
      <c r="BV38" s="14">
        <f>'[48]Ülevaade kuuliselt'!$BQ38</f>
        <v>69157352.8</v>
      </c>
      <c r="BW38" s="14">
        <f>'[52]Ülevaade kuuliselt'!$BS38</f>
        <v>72430748.65000002</v>
      </c>
    </row>
    <row r="39" spans="56:75" ht="12.75">
      <c r="BD39" s="13">
        <v>2008</v>
      </c>
      <c r="BE39" s="14">
        <f>S14</f>
        <v>278842165.36825895</v>
      </c>
      <c r="BF39" s="14">
        <f>T14</f>
        <v>329062248.30627745</v>
      </c>
      <c r="BG39" s="14">
        <f>U14</f>
        <v>256962031.1192208</v>
      </c>
      <c r="BH39" s="14">
        <f>V14</f>
        <v>335268405.57756937</v>
      </c>
      <c r="BI39" s="14">
        <f t="shared" si="18"/>
        <v>1200134850.3713264</v>
      </c>
      <c r="BK39" s="13" t="s">
        <v>196</v>
      </c>
      <c r="BL39" s="14"/>
      <c r="BM39" s="14"/>
      <c r="BN39" s="14"/>
      <c r="BO39" s="14"/>
      <c r="BP39" s="14"/>
      <c r="BQ39" s="14"/>
      <c r="BR39" s="14"/>
      <c r="BS39" s="14"/>
      <c r="BT39" s="27">
        <f>SUM(BT33:BT38)</f>
        <v>1426791952.6368</v>
      </c>
      <c r="BU39" s="27">
        <f>SUM(BU33:BU38)</f>
        <v>1562604162.43</v>
      </c>
      <c r="BV39" s="27">
        <f>SUM(BV33:BV38)</f>
        <v>1520494970.2500002</v>
      </c>
      <c r="BW39" s="27">
        <f>SUM(BW33:BW38)</f>
        <v>1568755858.0600004</v>
      </c>
    </row>
    <row r="40" spans="1:75" ht="12.75">
      <c r="A40" s="20" t="s">
        <v>262</v>
      </c>
      <c r="B40" s="13" t="s">
        <v>263</v>
      </c>
      <c r="C40" s="14">
        <f>-(C22+C23+C24)</f>
        <v>10000569.13195199</v>
      </c>
      <c r="D40" s="14">
        <f>-(D22+D23+D24)</f>
        <v>8573319.73527795</v>
      </c>
      <c r="E40" s="14">
        <f>-(E22+E23+E24)</f>
        <v>34599418.6788184</v>
      </c>
      <c r="F40" s="14">
        <f aca="true" t="shared" si="23" ref="F40:AN40">-(F22+F23+F24)</f>
        <v>36826485.063272536</v>
      </c>
      <c r="G40" s="14">
        <f t="shared" si="23"/>
        <v>8592351.861746322</v>
      </c>
      <c r="H40" s="14">
        <f t="shared" si="23"/>
        <v>20116027.745324872</v>
      </c>
      <c r="I40" s="14">
        <f t="shared" si="23"/>
        <v>74081589.14588474</v>
      </c>
      <c r="J40" s="14">
        <f t="shared" si="23"/>
        <v>40496554.83875089</v>
      </c>
      <c r="K40" s="14">
        <f t="shared" si="23"/>
        <v>5401410.241202557</v>
      </c>
      <c r="L40" s="14">
        <f t="shared" si="23"/>
        <v>40675716.07441872</v>
      </c>
      <c r="M40" s="14">
        <f t="shared" si="23"/>
        <v>77608117.21779814</v>
      </c>
      <c r="N40" s="14">
        <f t="shared" si="23"/>
        <v>70160084.19896974</v>
      </c>
      <c r="O40" s="14">
        <f t="shared" si="23"/>
        <v>-2059686.1196681734</v>
      </c>
      <c r="P40" s="14">
        <f t="shared" si="23"/>
        <v>40515845.088389836</v>
      </c>
      <c r="Q40" s="14">
        <f t="shared" si="23"/>
        <v>72406080.66928278</v>
      </c>
      <c r="R40" s="14">
        <f t="shared" si="23"/>
        <v>82136670.53609091</v>
      </c>
      <c r="S40" s="14">
        <f t="shared" si="23"/>
        <v>19721210.138943925</v>
      </c>
      <c r="T40" s="14">
        <f t="shared" si="23"/>
        <v>52072095.478250846</v>
      </c>
      <c r="U40" s="14">
        <f t="shared" si="23"/>
        <v>67390329.76998198</v>
      </c>
      <c r="V40" s="14">
        <f t="shared" si="23"/>
        <v>72249332.13228437</v>
      </c>
      <c r="W40" s="14">
        <f t="shared" si="23"/>
        <v>28254257.91098386</v>
      </c>
      <c r="X40" s="14">
        <f t="shared" si="23"/>
        <v>32394648.677028846</v>
      </c>
      <c r="Y40" s="14">
        <f t="shared" si="23"/>
        <v>59950408.47596289</v>
      </c>
      <c r="Z40" s="14">
        <f t="shared" si="23"/>
        <v>14013466.861362783</v>
      </c>
      <c r="AA40" s="14">
        <f t="shared" si="23"/>
        <v>12643794.541945206</v>
      </c>
      <c r="AB40" s="14">
        <f t="shared" si="23"/>
        <v>13699299.07455934</v>
      </c>
      <c r="AC40" s="14">
        <f t="shared" si="23"/>
        <v>27800732.320120677</v>
      </c>
      <c r="AD40" s="14">
        <f t="shared" si="23"/>
        <v>22203920.303452462</v>
      </c>
      <c r="AE40" s="14">
        <f t="shared" si="23"/>
        <v>897623.1499999976</v>
      </c>
      <c r="AF40" s="14">
        <f t="shared" si="23"/>
        <v>20920825.900000006</v>
      </c>
      <c r="AG40" s="14">
        <f t="shared" si="23"/>
        <v>27846648.949999973</v>
      </c>
      <c r="AH40" s="14">
        <f t="shared" si="23"/>
        <v>24391378.800000027</v>
      </c>
      <c r="AI40" s="14">
        <f t="shared" si="23"/>
        <v>12043968.149999995</v>
      </c>
      <c r="AJ40" s="14">
        <f t="shared" si="23"/>
        <v>16653669.13699999</v>
      </c>
      <c r="AK40" s="14">
        <f t="shared" si="23"/>
        <v>47185770.49300005</v>
      </c>
      <c r="AL40" s="14">
        <f t="shared" si="23"/>
        <v>45881765.249999955</v>
      </c>
      <c r="AM40" s="14">
        <f t="shared" si="23"/>
        <v>7905526.4100000085</v>
      </c>
      <c r="AN40" s="14">
        <f t="shared" si="23"/>
        <v>35529831.32999998</v>
      </c>
      <c r="AO40" s="14">
        <f aca="true" t="shared" si="24" ref="AO40:AT40">-(AO22+AO23+AO24)</f>
        <v>80000015.31999998</v>
      </c>
      <c r="AP40" s="14">
        <f t="shared" si="24"/>
        <v>64025776.90999998</v>
      </c>
      <c r="AQ40" s="14">
        <f t="shared" si="24"/>
        <v>3619225.1300000064</v>
      </c>
      <c r="AR40" s="14">
        <f t="shared" si="24"/>
        <v>32189843.099999994</v>
      </c>
      <c r="AS40" s="14">
        <f t="shared" si="24"/>
        <v>61023569.490000054</v>
      </c>
      <c r="AT40" s="14">
        <f t="shared" si="24"/>
        <v>45166358.16999999</v>
      </c>
      <c r="AU40" s="14">
        <f>-(AU22+AU23+AU24)</f>
        <v>19418116.900000002</v>
      </c>
      <c r="AV40" s="14">
        <f>-(AV22+AV23+AV24)</f>
        <v>26361184.689999998</v>
      </c>
      <c r="AW40" s="14">
        <f>-(AW22+AW23+AW24)</f>
        <v>56819123.42999995</v>
      </c>
      <c r="AX40" s="14" t="e">
        <f>-(AX22+AX23+AX24)</f>
        <v>#REF!</v>
      </c>
      <c r="AY40" s="14" t="e">
        <f>-(AY22+AY23+AY24)</f>
        <v>#REF!</v>
      </c>
      <c r="AZ40" s="14"/>
      <c r="BA40" s="14"/>
      <c r="BB40" s="14"/>
      <c r="BD40" s="13">
        <v>2009</v>
      </c>
      <c r="BE40" s="14">
        <f>W14</f>
        <v>289485362.8027814</v>
      </c>
      <c r="BF40" s="14">
        <f>X14</f>
        <v>294189575.00990623</v>
      </c>
      <c r="BG40" s="14">
        <f>Y14</f>
        <v>255297016.0181765</v>
      </c>
      <c r="BH40" s="14">
        <f>Z14</f>
        <v>287653055.5194105</v>
      </c>
      <c r="BI40" s="14">
        <f t="shared" si="18"/>
        <v>1126625009.3502746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8">
        <f>BU39-'[18]Ülevaade Overview'!AD40</f>
        <v>0</v>
      </c>
      <c r="BV40" s="38"/>
      <c r="BW40" s="38"/>
    </row>
    <row r="41" spans="4:72" ht="12.75">
      <c r="D41" s="15"/>
      <c r="BD41" s="13">
        <v>2010</v>
      </c>
      <c r="BE41" s="14">
        <f>AA14</f>
        <v>273472251.3677094</v>
      </c>
      <c r="BF41" s="14">
        <f>AB14</f>
        <v>276541597.3725919</v>
      </c>
      <c r="BG41" s="14">
        <f>AC14</f>
        <v>231733149.24712086</v>
      </c>
      <c r="BH41" s="14">
        <f>AD14</f>
        <v>289876980.5505159</v>
      </c>
      <c r="BI41" s="14">
        <f t="shared" si="18"/>
        <v>1071623978.5379381</v>
      </c>
      <c r="BK41" s="35" t="s">
        <v>261</v>
      </c>
      <c r="BL41" s="39">
        <v>2013</v>
      </c>
      <c r="BM41" s="39">
        <v>2014</v>
      </c>
      <c r="BN41" s="39">
        <v>2015</v>
      </c>
      <c r="BO41" s="32" t="s">
        <v>317</v>
      </c>
      <c r="BP41" s="32" t="s">
        <v>318</v>
      </c>
      <c r="BQ41" s="32" t="s">
        <v>323</v>
      </c>
      <c r="BR41" s="32"/>
      <c r="BS41" s="32"/>
      <c r="BT41" s="32"/>
    </row>
    <row r="42" spans="7:69" ht="12.75">
      <c r="G42" s="15"/>
      <c r="H42" s="15"/>
      <c r="AQ42" s="15"/>
      <c r="AU42" s="15"/>
      <c r="BD42" s="13">
        <v>2011</v>
      </c>
      <c r="BE42" s="14">
        <f>AE$14</f>
        <v>285662675.0500001</v>
      </c>
      <c r="BF42" s="14">
        <f>AF$14</f>
        <v>282124692.7869999</v>
      </c>
      <c r="BG42" s="14">
        <f>AG$14</f>
        <v>242787451.29200011</v>
      </c>
      <c r="BH42" s="14">
        <f>AH$14</f>
        <v>302261081.35199994</v>
      </c>
      <c r="BI42" s="14">
        <f t="shared" si="18"/>
        <v>1112835900.481</v>
      </c>
      <c r="BK42" s="13" t="s">
        <v>276</v>
      </c>
      <c r="BL42" s="14">
        <f>BU9</f>
        <v>725750958.74</v>
      </c>
      <c r="BM42" s="14">
        <f>BV9</f>
        <v>790533051.76</v>
      </c>
      <c r="BN42" s="14" t="e">
        <f>BW9</f>
        <v>#REF!</v>
      </c>
      <c r="BO42" s="40">
        <f aca="true" t="shared" si="25" ref="BO42:BQ47">BL42/SUM(BL$42:BL$46)</f>
        <v>0.48714103202988357</v>
      </c>
      <c r="BP42" s="40">
        <f t="shared" si="25"/>
        <v>0.5197164478959015</v>
      </c>
      <c r="BQ42" s="40" t="e">
        <f t="shared" si="25"/>
        <v>#REF!</v>
      </c>
    </row>
    <row r="43" spans="7:69" ht="12.75">
      <c r="G43" s="15"/>
      <c r="BD43" s="13">
        <v>2012</v>
      </c>
      <c r="BE43" s="14">
        <f>AI14</f>
        <v>277493762.35157007</v>
      </c>
      <c r="BF43" s="14">
        <f>AJ14</f>
        <v>292030339.98597765</v>
      </c>
      <c r="BG43" s="14">
        <f>AK14</f>
        <v>263324403.7914524</v>
      </c>
      <c r="BH43" s="14">
        <f>AL14</f>
        <v>311493729.8109997</v>
      </c>
      <c r="BI43" s="14">
        <f>SUM(BE43:BH43)</f>
        <v>1144342235.9399998</v>
      </c>
      <c r="BK43" s="13" t="s">
        <v>295</v>
      </c>
      <c r="BL43" s="14">
        <f>BU10+BU11+BU16+BU17</f>
        <v>264158093.37</v>
      </c>
      <c r="BM43" s="14">
        <f>BV10+BV11+BV16+BV17</f>
        <v>279860506.54999995</v>
      </c>
      <c r="BN43" s="14" t="e">
        <f>BW10+BW11+BW16+BW17</f>
        <v>#REF!</v>
      </c>
      <c r="BO43" s="40">
        <f t="shared" si="25"/>
        <v>0.1773090957354264</v>
      </c>
      <c r="BP43" s="40">
        <f t="shared" si="25"/>
        <v>0.18398738426773664</v>
      </c>
      <c r="BQ43" s="40" t="e">
        <f t="shared" si="25"/>
        <v>#REF!</v>
      </c>
    </row>
    <row r="44" spans="4:69" ht="12.75">
      <c r="D44" s="15"/>
      <c r="BD44" s="13">
        <v>2013</v>
      </c>
      <c r="BE44" s="14">
        <f>AM14</f>
        <v>297888961.6700001</v>
      </c>
      <c r="BF44" s="14">
        <f>AN14</f>
        <v>324320319.07999986</v>
      </c>
      <c r="BG44" s="14">
        <f>AO14</f>
        <v>254598353.26000023</v>
      </c>
      <c r="BH44" s="14">
        <f>AP14</f>
        <v>334654908.43999994</v>
      </c>
      <c r="BI44" s="14">
        <f>SUM(BE44:BH44)</f>
        <v>1211462542.4500003</v>
      </c>
      <c r="BK44" s="13" t="s">
        <v>14</v>
      </c>
      <c r="BL44" s="14">
        <f aca="true" t="shared" si="26" ref="BL44:BN45">BU12</f>
        <v>74252136.98</v>
      </c>
      <c r="BM44" s="14">
        <f t="shared" si="26"/>
        <v>74868439.69</v>
      </c>
      <c r="BN44" s="14" t="e">
        <f t="shared" si="26"/>
        <v>#REF!</v>
      </c>
      <c r="BO44" s="40">
        <f t="shared" si="25"/>
        <v>0.04983977244984918</v>
      </c>
      <c r="BP44" s="40">
        <f t="shared" si="25"/>
        <v>0.04922040824044916</v>
      </c>
      <c r="BQ44" s="40" t="e">
        <f t="shared" si="25"/>
        <v>#REF!</v>
      </c>
    </row>
    <row r="45" spans="4:69" ht="12.75">
      <c r="D45" s="15"/>
      <c r="BD45" s="13">
        <v>2014</v>
      </c>
      <c r="BE45" s="14">
        <f>AQ14</f>
        <v>309868983.59</v>
      </c>
      <c r="BF45" s="14">
        <f>AR14</f>
        <v>339263233.04000014</v>
      </c>
      <c r="BG45" s="14">
        <f>AS14</f>
        <v>269488441.97999996</v>
      </c>
      <c r="BH45" s="14">
        <f>AT14</f>
        <v>350941200.34999996</v>
      </c>
      <c r="BI45" s="14">
        <f>SUM(BE45:BH45)</f>
        <v>1269561858.96</v>
      </c>
      <c r="BK45" s="13" t="s">
        <v>278</v>
      </c>
      <c r="BL45" s="14">
        <f t="shared" si="26"/>
        <v>230916815.02</v>
      </c>
      <c r="BM45" s="14">
        <f t="shared" si="26"/>
        <v>232568419.35000002</v>
      </c>
      <c r="BN45" s="14" t="e">
        <f t="shared" si="26"/>
        <v>#REF!</v>
      </c>
      <c r="BO45" s="40">
        <f t="shared" si="25"/>
        <v>0.15499677158841438</v>
      </c>
      <c r="BP45" s="40">
        <f t="shared" si="25"/>
        <v>0.1528963685050851</v>
      </c>
      <c r="BQ45" s="40" t="e">
        <f t="shared" si="25"/>
        <v>#REF!</v>
      </c>
    </row>
    <row r="46" spans="56:69" ht="12.75">
      <c r="BD46" s="13">
        <v>2015</v>
      </c>
      <c r="BE46" s="14">
        <f>AU14</f>
        <v>330527925.41</v>
      </c>
      <c r="BF46" s="14">
        <f>AV14</f>
        <v>357498140.9099999</v>
      </c>
      <c r="BG46" s="14">
        <f>AW14</f>
        <v>289495845.16000015</v>
      </c>
      <c r="BH46" s="14" t="e">
        <f>AX14</f>
        <v>#REF!</v>
      </c>
      <c r="BI46" s="14" t="e">
        <f>SUM(BE46:BH46)</f>
        <v>#REF!</v>
      </c>
      <c r="BK46" s="13" t="s">
        <v>297</v>
      </c>
      <c r="BL46" s="14">
        <f>BU14+BU15</f>
        <v>194738929.84000003</v>
      </c>
      <c r="BM46" s="14">
        <f>BV14+BV15</f>
        <v>143254887.83999997</v>
      </c>
      <c r="BN46" s="14" t="e">
        <f>BW14+BW15</f>
        <v>#REF!</v>
      </c>
      <c r="BO46" s="40">
        <f t="shared" si="25"/>
        <v>0.13071332819642636</v>
      </c>
      <c r="BP46" s="40">
        <f t="shared" si="25"/>
        <v>0.09417939109082768</v>
      </c>
      <c r="BQ46" s="40" t="e">
        <f t="shared" si="25"/>
        <v>#REF!</v>
      </c>
    </row>
    <row r="47" spans="4:69" ht="12.75">
      <c r="D47" s="15"/>
      <c r="BD47" s="13">
        <v>2016</v>
      </c>
      <c r="BE47" s="14" t="e">
        <f>AY14</f>
        <v>#REF!</v>
      </c>
      <c r="BF47" s="13"/>
      <c r="BG47" s="13"/>
      <c r="BH47" s="13"/>
      <c r="BI47" s="29"/>
      <c r="BK47" s="13" t="s">
        <v>196</v>
      </c>
      <c r="BL47" s="14">
        <f>SUM(BL42:BL46)</f>
        <v>1489816933.9500003</v>
      </c>
      <c r="BM47" s="14">
        <f>SUM(BM42:BM46)</f>
        <v>1521085305.1899998</v>
      </c>
      <c r="BN47" s="14" t="e">
        <f>SUM(BN42:BN46)</f>
        <v>#REF!</v>
      </c>
      <c r="BO47" s="40">
        <f t="shared" si="25"/>
        <v>1</v>
      </c>
      <c r="BP47" s="40">
        <f t="shared" si="25"/>
        <v>1</v>
      </c>
      <c r="BQ47" s="40" t="e">
        <f t="shared" si="25"/>
        <v>#REF!</v>
      </c>
    </row>
    <row r="48" spans="56:61" ht="12.75">
      <c r="BD48" s="10" t="s">
        <v>279</v>
      </c>
      <c r="BE48" s="30" t="e">
        <f>BE47/BE46-1</f>
        <v>#REF!</v>
      </c>
      <c r="BF48" s="30">
        <f>BF47/BF46-1</f>
        <v>-1</v>
      </c>
      <c r="BG48" s="30">
        <f>BG47/BG46-1</f>
        <v>-1</v>
      </c>
      <c r="BH48" s="30" t="e">
        <f>BH47/BH46-1</f>
        <v>#REF!</v>
      </c>
      <c r="BI48" s="30"/>
    </row>
    <row r="49" ht="12.75"/>
    <row r="50" spans="56:62" ht="25.5">
      <c r="BD50" s="33" t="s">
        <v>296</v>
      </c>
      <c r="BE50" s="34" t="s">
        <v>266</v>
      </c>
      <c r="BF50" s="34" t="s">
        <v>267</v>
      </c>
      <c r="BG50" s="34" t="s">
        <v>268</v>
      </c>
      <c r="BH50" s="34" t="s">
        <v>269</v>
      </c>
      <c r="BJ50" s="15"/>
    </row>
    <row r="51" spans="56:62" ht="12.75">
      <c r="BD51" s="13">
        <v>2004</v>
      </c>
      <c r="BE51" s="36">
        <f>SUM($BE35:BE35)/$BI35</f>
        <v>0.23237241245086745</v>
      </c>
      <c r="BF51" s="36">
        <f>SUM($BE35:BF35)/$BI35</f>
        <v>0.5094420417815423</v>
      </c>
      <c r="BG51" s="36">
        <f>SUM($BE35:BG35)/$BI35</f>
        <v>0.7171107311877742</v>
      </c>
      <c r="BH51" s="36">
        <f>SUM($BE35:BH35)/$BI35</f>
        <v>1</v>
      </c>
      <c r="BJ51" s="15"/>
    </row>
    <row r="52" spans="56:60" ht="12.75">
      <c r="BD52" s="13">
        <v>2005</v>
      </c>
      <c r="BE52" s="36">
        <f>SUM($BE36:BE36)/$BI36</f>
        <v>0.23983047465857496</v>
      </c>
      <c r="BF52" s="36">
        <f>SUM($BE36:BF36)/$BI36</f>
        <v>0.44712555428715595</v>
      </c>
      <c r="BG52" s="36">
        <f>SUM($BE36:BG36)/$BI36</f>
        <v>0.7392648507497919</v>
      </c>
      <c r="BH52" s="36">
        <f>SUM($BE36:BH36)/$BI36</f>
        <v>1</v>
      </c>
    </row>
    <row r="53" spans="14:60" ht="12.75">
      <c r="N53" s="15"/>
      <c r="BD53" s="13">
        <v>2006</v>
      </c>
      <c r="BE53" s="36">
        <f>SUM($BE37:BE37)/$BI37</f>
        <v>0.2284306808522541</v>
      </c>
      <c r="BF53" s="36">
        <f>SUM($BE37:BF37)/$BI37</f>
        <v>0.5000721797938898</v>
      </c>
      <c r="BG53" s="36">
        <f>SUM($BE37:BG37)/$BI37</f>
        <v>0.7051689637700607</v>
      </c>
      <c r="BH53" s="36">
        <f>SUM($BE37:BH37)/$BI37</f>
        <v>1</v>
      </c>
    </row>
    <row r="54" spans="14:60" ht="12.75">
      <c r="N54" s="15"/>
      <c r="BD54" s="13">
        <v>2007</v>
      </c>
      <c r="BE54" s="36">
        <f>SUM($BE38:BE38)/$BI38</f>
        <v>0.2247214511765927</v>
      </c>
      <c r="BF54" s="36">
        <f>SUM($BE38:BF38)/$BI38</f>
        <v>0.49187583092071624</v>
      </c>
      <c r="BG54" s="36">
        <f>SUM($BE38:BG38)/$BI38</f>
        <v>0.7045141408285793</v>
      </c>
      <c r="BH54" s="36">
        <f>SUM($BE38:BH38)/$BI38</f>
        <v>1</v>
      </c>
    </row>
    <row r="55" spans="14:60" ht="12.75">
      <c r="N55" s="15"/>
      <c r="BD55" s="37">
        <v>2008</v>
      </c>
      <c r="BE55" s="36">
        <f>SUM($BE39:BE39)/$BI39</f>
        <v>0.23234236159543578</v>
      </c>
      <c r="BF55" s="36">
        <f>SUM($BE39:BF39)/$BI39</f>
        <v>0.5065300899198523</v>
      </c>
      <c r="BG55" s="36">
        <f>SUM($BE39:BG39)/$BI39</f>
        <v>0.7206410550665736</v>
      </c>
      <c r="BH55" s="36">
        <f>SUM($BE39:BH39)/$BI39</f>
        <v>1</v>
      </c>
    </row>
    <row r="56" spans="14:60" ht="12.75">
      <c r="N56" s="15"/>
      <c r="BD56" s="13">
        <v>2009</v>
      </c>
      <c r="BE56" s="36">
        <f>SUM($BE40:BE40)/$BI40</f>
        <v>0.2569491715524119</v>
      </c>
      <c r="BF56" s="36">
        <f>SUM($BE40:BF40)/$BI40</f>
        <v>0.5180738337677178</v>
      </c>
      <c r="BG56" s="36">
        <f>SUM($BE40:BG40)/$BI40</f>
        <v>0.7446771968205285</v>
      </c>
      <c r="BH56" s="36">
        <f>SUM($BE40:BH40)/$BI40</f>
        <v>1</v>
      </c>
    </row>
    <row r="57" spans="14:60" ht="12.75">
      <c r="N57" s="15"/>
      <c r="BD57" s="13">
        <v>2010</v>
      </c>
      <c r="BE57" s="36">
        <f>SUM($BE41:BE41)/$BI41</f>
        <v>0.25519422562830213</v>
      </c>
      <c r="BF57" s="36">
        <f>SUM($BE41:BF41)/$BI41</f>
        <v>0.5132526518216851</v>
      </c>
      <c r="BG57" s="36">
        <f>SUM($BE41:BG41)/$BI41</f>
        <v>0.7294974857262831</v>
      </c>
      <c r="BH57" s="36">
        <f>SUM($BE41:BH41)/$BI41</f>
        <v>1</v>
      </c>
    </row>
    <row r="58" spans="14:60" ht="12.75">
      <c r="N58" s="15"/>
      <c r="BD58" s="13">
        <v>2011</v>
      </c>
      <c r="BE58" s="36">
        <f>SUM($BE42:BE42)/$BI42</f>
        <v>0.25669793266601876</v>
      </c>
      <c r="BF58" s="36">
        <f>SUM($BE42:BF42)/$BI42</f>
        <v>0.5102166164765045</v>
      </c>
      <c r="BG58" s="36">
        <f>SUM($BE42:BG42)/$BI42</f>
        <v>0.7283866550123392</v>
      </c>
      <c r="BH58" s="36">
        <f>SUM($BE42:BH42)/$BI42</f>
        <v>1</v>
      </c>
    </row>
    <row r="59" spans="56:60" ht="12.75">
      <c r="BD59" s="13">
        <v>2012</v>
      </c>
      <c r="BE59" s="36">
        <f>SUM($BE43:BE43)/$BI43</f>
        <v>0.2424919343500659</v>
      </c>
      <c r="BF59" s="36">
        <f>SUM($BE43:BF43)/$BI43</f>
        <v>0.4976868671370171</v>
      </c>
      <c r="BG59" s="36">
        <f>SUM($BE43:BG43)/$BI43</f>
        <v>0.7277967027450241</v>
      </c>
      <c r="BH59" s="36">
        <f>SUM($BE43:BH43)/$BI43</f>
        <v>1</v>
      </c>
    </row>
    <row r="60" spans="56:60" ht="12.75">
      <c r="BD60" s="13">
        <v>2013</v>
      </c>
      <c r="BE60" s="36">
        <f>SUM($BE44:BE44)/$BI44</f>
        <v>0.24589201170641609</v>
      </c>
      <c r="BF60" s="36">
        <f>SUM($BE44:BF44)/$BI44</f>
        <v>0.5136017490822915</v>
      </c>
      <c r="BG60" s="36">
        <f>SUM($BE44:BG44)/$BI44</f>
        <v>0.7237595908139174</v>
      </c>
      <c r="BH60" s="36">
        <f>SUM($BE44:BH44)/$BI44</f>
        <v>1</v>
      </c>
    </row>
    <row r="61" spans="56:60" ht="12.75">
      <c r="BD61" s="13">
        <v>2014</v>
      </c>
      <c r="BE61" s="36">
        <f>SUM($BE45:BE45)/$BI45</f>
        <v>0.24407552999728466</v>
      </c>
      <c r="BF61" s="36">
        <f>SUM($BE45:BF45)/$BI45</f>
        <v>0.5113041259460617</v>
      </c>
      <c r="BG61" s="36">
        <f>SUM($BE45:BG45)/$BI45</f>
        <v>0.7235729808097071</v>
      </c>
      <c r="BH61" s="36">
        <f>SUM($BE45:BH45)/$BI45</f>
        <v>1</v>
      </c>
    </row>
    <row r="62" spans="56:60" ht="12.75">
      <c r="BD62" s="13">
        <v>2015</v>
      </c>
      <c r="BE62" s="36" t="e">
        <f>SUM($BE46:BE46)/$BI46</f>
        <v>#REF!</v>
      </c>
      <c r="BF62" s="36" t="e">
        <f>SUM($BE46:BF46)/$BI46</f>
        <v>#REF!</v>
      </c>
      <c r="BG62" s="36" t="e">
        <f>SUM($BE46:BG46)/$BI46</f>
        <v>#REF!</v>
      </c>
      <c r="BH62" s="36" t="e">
        <f>SUM($BE46:BH46)/$BI46</f>
        <v>#REF!</v>
      </c>
    </row>
    <row r="63" ht="12.75"/>
    <row r="64" spans="56:61" ht="25.5">
      <c r="BD64" s="33" t="s">
        <v>298</v>
      </c>
      <c r="BE64" s="34" t="s">
        <v>266</v>
      </c>
      <c r="BF64" s="34" t="s">
        <v>267</v>
      </c>
      <c r="BG64" s="34" t="s">
        <v>268</v>
      </c>
      <c r="BH64" s="34" t="s">
        <v>269</v>
      </c>
      <c r="BI64" s="34" t="s">
        <v>196</v>
      </c>
    </row>
    <row r="65" spans="56:61" ht="12.75">
      <c r="BD65" s="13">
        <v>2004</v>
      </c>
      <c r="BE65" s="14">
        <f>C29</f>
        <v>-2106127.2105579693</v>
      </c>
      <c r="BF65" s="14">
        <f>D29</f>
        <v>8915755.24092877</v>
      </c>
      <c r="BG65" s="14">
        <f>E29</f>
        <v>5790751.251390129</v>
      </c>
      <c r="BH65" s="14">
        <f>F29</f>
        <v>-18909446.902266353</v>
      </c>
      <c r="BI65" s="14">
        <f aca="true" t="shared" si="27" ref="BI65:BI72">SUM(BE65:BH65)</f>
        <v>-6309067.620505424</v>
      </c>
    </row>
    <row r="66" spans="56:61" ht="12.75">
      <c r="BD66" s="13">
        <v>2005</v>
      </c>
      <c r="BE66" s="14">
        <f>G29</f>
        <v>8100209.727991991</v>
      </c>
      <c r="BF66" s="14">
        <f>H29</f>
        <v>26132670.231884334</v>
      </c>
      <c r="BG66" s="14">
        <f>I29</f>
        <v>14339517.024772022</v>
      </c>
      <c r="BH66" s="14">
        <f>J29</f>
        <v>-69759605.5484258</v>
      </c>
      <c r="BI66" s="14">
        <f t="shared" si="27"/>
        <v>-21187208.563777447</v>
      </c>
    </row>
    <row r="67" spans="56:61" ht="12.75">
      <c r="BD67" s="13">
        <v>2006</v>
      </c>
      <c r="BE67" s="14">
        <f>K29</f>
        <v>38740530.46163389</v>
      </c>
      <c r="BF67" s="14">
        <f>L29</f>
        <v>89601394.45617588</v>
      </c>
      <c r="BG67" s="14">
        <f>M29</f>
        <v>-73376413.89017424</v>
      </c>
      <c r="BH67" s="14">
        <f>N29</f>
        <v>-66858029.109301865</v>
      </c>
      <c r="BI67" s="14">
        <f t="shared" si="27"/>
        <v>-11892518.081666335</v>
      </c>
    </row>
    <row r="68" spans="56:61" ht="12.75">
      <c r="BD68" s="13">
        <v>2007</v>
      </c>
      <c r="BE68" s="14">
        <f>O29</f>
        <v>37563988.41793104</v>
      </c>
      <c r="BF68" s="14">
        <f>P29</f>
        <v>41135105.54169584</v>
      </c>
      <c r="BG68" s="14">
        <f>Q29</f>
        <v>-9245352.528900608</v>
      </c>
      <c r="BH68" s="14">
        <f>R29</f>
        <v>-85242469.40888117</v>
      </c>
      <c r="BI68" s="14">
        <f t="shared" si="27"/>
        <v>-15788727.978154898</v>
      </c>
    </row>
    <row r="69" spans="56:61" ht="12.75">
      <c r="BD69" s="13">
        <v>2008</v>
      </c>
      <c r="BE69" s="14">
        <f>S29</f>
        <v>16268356.66336453</v>
      </c>
      <c r="BF69" s="14">
        <f>T29</f>
        <v>-5783793.913629726</v>
      </c>
      <c r="BG69" s="14">
        <f>U29</f>
        <v>-7283253.698759094</v>
      </c>
      <c r="BH69" s="14">
        <f>V29</f>
        <v>-77632311.38119465</v>
      </c>
      <c r="BI69" s="14">
        <f t="shared" si="27"/>
        <v>-74431002.33021894</v>
      </c>
    </row>
    <row r="70" spans="56:61" ht="12.75">
      <c r="BD70" s="13">
        <v>2009</v>
      </c>
      <c r="BE70" s="14">
        <f>W29</f>
        <v>-15106413.85924095</v>
      </c>
      <c r="BF70" s="14">
        <f>X29</f>
        <v>8267048.443970673</v>
      </c>
      <c r="BG70" s="14">
        <f>Y29</f>
        <v>-25696981.029963717</v>
      </c>
      <c r="BH70" s="14">
        <f>Z29</f>
        <v>-23102783.79648022</v>
      </c>
      <c r="BI70" s="14">
        <f t="shared" si="27"/>
        <v>-55639130.24171421</v>
      </c>
    </row>
    <row r="71" spans="56:61" ht="12.75">
      <c r="BD71" s="13">
        <v>2010</v>
      </c>
      <c r="BE71" s="14">
        <f>AA29</f>
        <v>-11441248.079327289</v>
      </c>
      <c r="BF71" s="14">
        <f>AB29</f>
        <v>39224701.153477736</v>
      </c>
      <c r="BG71" s="14">
        <f>AC29</f>
        <v>47232.6684390977</v>
      </c>
      <c r="BH71" s="14">
        <f>AD29</f>
        <v>-7261352.286228493</v>
      </c>
      <c r="BI71" s="14">
        <f t="shared" si="27"/>
        <v>20569333.45636105</v>
      </c>
    </row>
    <row r="72" spans="56:61" ht="12.75">
      <c r="BD72" s="13">
        <v>2011</v>
      </c>
      <c r="BE72" s="14">
        <f>AE29</f>
        <v>1291471.2509999466</v>
      </c>
      <c r="BF72" s="14">
        <f>AF29</f>
        <v>38841104.53200013</v>
      </c>
      <c r="BG72" s="14">
        <f>AG29</f>
        <v>-1301292.0820000172</v>
      </c>
      <c r="BH72" s="14">
        <f>AH29</f>
        <v>-12765488.126000024</v>
      </c>
      <c r="BI72" s="14">
        <f t="shared" si="27"/>
        <v>26065795.57500004</v>
      </c>
    </row>
    <row r="73" spans="56:61" ht="12.75">
      <c r="BD73" s="13">
        <v>2012</v>
      </c>
      <c r="BE73" s="14">
        <f>AI29</f>
        <v>20965921.278429925</v>
      </c>
      <c r="BF73" s="14">
        <f>AJ29</f>
        <v>42686521.24702228</v>
      </c>
      <c r="BG73" s="14">
        <f>AK29</f>
        <v>-19406328.024452426</v>
      </c>
      <c r="BH73" s="14">
        <f>AL29</f>
        <v>-46153038.37099953</v>
      </c>
      <c r="BI73" s="14">
        <f>SUM(BE73:BH73)</f>
        <v>-1906923.8699997514</v>
      </c>
    </row>
    <row r="74" spans="56:61" ht="12.75">
      <c r="BD74" s="13">
        <v>2013</v>
      </c>
      <c r="BE74" s="14">
        <f>AM29</f>
        <v>30108895.069999892</v>
      </c>
      <c r="BF74" s="14">
        <f>AN29</f>
        <v>12694316.750000104</v>
      </c>
      <c r="BG74" s="14">
        <f>AO29</f>
        <v>-53266622.89000015</v>
      </c>
      <c r="BH74" s="14">
        <f>AP29</f>
        <v>-62323817.40999991</v>
      </c>
      <c r="BI74" s="14">
        <f>SUM(BE74:BH74)</f>
        <v>-72787228.48000006</v>
      </c>
    </row>
    <row r="75" spans="56:61" ht="12.75">
      <c r="BD75" s="13">
        <v>2014</v>
      </c>
      <c r="BE75" s="14">
        <f>AQ29</f>
        <v>54966620.17000007</v>
      </c>
      <c r="BF75" s="14">
        <f>AR29</f>
        <v>21141686.939999826</v>
      </c>
      <c r="BG75" s="14">
        <f>AS29</f>
        <v>-31213160.020000137</v>
      </c>
      <c r="BH75" s="14">
        <f>AT29</f>
        <v>-44304812.14999995</v>
      </c>
      <c r="BI75" s="14">
        <f>SUM(BE75:BH75)</f>
        <v>590334.9399998114</v>
      </c>
    </row>
    <row r="76" spans="56:61" ht="12.75">
      <c r="BD76" s="13">
        <v>2015</v>
      </c>
      <c r="BE76" s="14">
        <f>AU29</f>
        <v>56539116.19999997</v>
      </c>
      <c r="BF76" s="14">
        <f>AV29</f>
        <v>18716184.730000034</v>
      </c>
      <c r="BG76" s="14">
        <f>AW29</f>
        <v>-10240487.430000037</v>
      </c>
      <c r="BH76" s="14" t="e">
        <f>AX29</f>
        <v>#REF!</v>
      </c>
      <c r="BI76" s="14" t="e">
        <f>SUM(BE76:BH76)</f>
        <v>#REF!</v>
      </c>
    </row>
    <row r="77" spans="56:61" ht="12.75">
      <c r="BD77" s="13">
        <v>2016</v>
      </c>
      <c r="BE77" s="14" t="e">
        <f>AY29</f>
        <v>#REF!</v>
      </c>
      <c r="BF77" s="14"/>
      <c r="BG77" s="14"/>
      <c r="BH77" s="14"/>
      <c r="BI77" s="14"/>
    </row>
    <row r="78" ht="12.75"/>
    <row r="79" spans="56:60" ht="25.5">
      <c r="BD79" s="33" t="s">
        <v>299</v>
      </c>
      <c r="BE79" s="34" t="s">
        <v>266</v>
      </c>
      <c r="BF79" s="34" t="s">
        <v>267</v>
      </c>
      <c r="BG79" s="34" t="s">
        <v>268</v>
      </c>
      <c r="BH79" s="34" t="s">
        <v>269</v>
      </c>
    </row>
    <row r="80" spans="56:60" ht="12.75">
      <c r="BD80" s="13">
        <v>2004</v>
      </c>
      <c r="BE80" s="14">
        <f>SUM($BE65:BE65)</f>
        <v>-2106127.2105579693</v>
      </c>
      <c r="BF80" s="14">
        <f>SUM($BE65:BF65)</f>
        <v>6809628.0303708</v>
      </c>
      <c r="BG80" s="14">
        <f>SUM($BE65:BG65)</f>
        <v>12600379.28176093</v>
      </c>
      <c r="BH80" s="14">
        <f>SUM($BE65:BH65)</f>
        <v>-6309067.620505424</v>
      </c>
    </row>
    <row r="81" spans="56:60" ht="12.75">
      <c r="BD81" s="13">
        <v>2005</v>
      </c>
      <c r="BE81" s="14">
        <f>SUM($BE66:BE66)</f>
        <v>8100209.727991991</v>
      </c>
      <c r="BF81" s="14">
        <f>SUM($BE66:BF66)</f>
        <v>34232879.95987633</v>
      </c>
      <c r="BG81" s="14">
        <f>SUM($BE66:BG66)</f>
        <v>48572396.98464835</v>
      </c>
      <c r="BH81" s="14">
        <f>SUM($BE66:BH66)</f>
        <v>-21187208.563777447</v>
      </c>
    </row>
    <row r="82" spans="56:60" ht="12.75">
      <c r="BD82" s="13">
        <v>2006</v>
      </c>
      <c r="BE82" s="14">
        <f>SUM($BE67:BE67)</f>
        <v>38740530.46163389</v>
      </c>
      <c r="BF82" s="14">
        <f>SUM($BE67:BF67)</f>
        <v>128341924.91780977</v>
      </c>
      <c r="BG82" s="14">
        <f>SUM($BE67:BG67)</f>
        <v>54965511.02763553</v>
      </c>
      <c r="BH82" s="14">
        <f>SUM($BE67:BH67)</f>
        <v>-11892518.081666335</v>
      </c>
    </row>
    <row r="83" spans="56:60" ht="12.75">
      <c r="BD83" s="13">
        <v>2007</v>
      </c>
      <c r="BE83" s="14">
        <f>SUM($BE68:BE68)</f>
        <v>37563988.41793104</v>
      </c>
      <c r="BF83" s="14">
        <f>SUM($BE68:BF68)</f>
        <v>78699093.95962688</v>
      </c>
      <c r="BG83" s="14">
        <f>SUM($BE68:BG68)</f>
        <v>69453741.43072627</v>
      </c>
      <c r="BH83" s="14">
        <f>SUM($BE68:BH68)</f>
        <v>-15788727.978154898</v>
      </c>
    </row>
    <row r="84" spans="56:60" ht="12.75">
      <c r="BD84" s="13">
        <v>2008</v>
      </c>
      <c r="BE84" s="14">
        <f>SUM($BE69:BE69)</f>
        <v>16268356.66336453</v>
      </c>
      <c r="BF84" s="14">
        <f>SUM($BE69:BF69)</f>
        <v>10484562.749734804</v>
      </c>
      <c r="BG84" s="14">
        <f>SUM($BE69:BG69)</f>
        <v>3201309.05097571</v>
      </c>
      <c r="BH84" s="14">
        <f>SUM($BE69:BH69)</f>
        <v>-74431002.33021894</v>
      </c>
    </row>
    <row r="85" spans="56:60" ht="12.75">
      <c r="BD85" s="13">
        <v>2009</v>
      </c>
      <c r="BE85" s="14">
        <f>SUM($BE70:BE70)</f>
        <v>-15106413.85924095</v>
      </c>
      <c r="BF85" s="14">
        <f>SUM($BE70:BF70)</f>
        <v>-6839365.415270276</v>
      </c>
      <c r="BG85" s="14">
        <f>SUM($BE70:BG70)</f>
        <v>-32536346.445233993</v>
      </c>
      <c r="BH85" s="14">
        <f>SUM($BE70:BH70)</f>
        <v>-55639130.24171421</v>
      </c>
    </row>
    <row r="86" spans="56:60" ht="12.75">
      <c r="BD86" s="13">
        <v>2010</v>
      </c>
      <c r="BE86" s="14">
        <f>SUM($BE71:BE71)</f>
        <v>-11441248.079327289</v>
      </c>
      <c r="BF86" s="14">
        <f>SUM($BE71:BF71)</f>
        <v>27783453.074150447</v>
      </c>
      <c r="BG86" s="14">
        <f>SUM($BE71:BG71)</f>
        <v>27830685.742589545</v>
      </c>
      <c r="BH86" s="14">
        <f>SUM($BE71:BH71)</f>
        <v>20569333.45636105</v>
      </c>
    </row>
    <row r="87" spans="56:60" ht="12.75">
      <c r="BD87" s="13">
        <v>2011</v>
      </c>
      <c r="BE87" s="14">
        <f>SUM($BE72:BE72)</f>
        <v>1291471.2509999466</v>
      </c>
      <c r="BF87" s="14">
        <f>SUM($BE72:BF72)</f>
        <v>40132575.78300008</v>
      </c>
      <c r="BG87" s="14">
        <f>SUM($BE72:BG72)</f>
        <v>38831283.701000065</v>
      </c>
      <c r="BH87" s="14">
        <f>SUM($BE72:BH72)</f>
        <v>26065795.57500004</v>
      </c>
    </row>
    <row r="88" spans="56:60" ht="12.75">
      <c r="BD88" s="13">
        <v>2012</v>
      </c>
      <c r="BE88" s="14">
        <f>SUM($BE73:BE73)</f>
        <v>20965921.278429925</v>
      </c>
      <c r="BF88" s="14">
        <f>SUM($BE73:BF73)</f>
        <v>63652442.525452204</v>
      </c>
      <c r="BG88" s="14">
        <f>SUM($BE73:BG73)</f>
        <v>44246114.50099978</v>
      </c>
      <c r="BH88" s="14">
        <f>SUM($BE73:BH73)</f>
        <v>-1906923.8699997514</v>
      </c>
    </row>
    <row r="89" spans="56:60" ht="12.75">
      <c r="BD89" s="13">
        <v>2013</v>
      </c>
      <c r="BE89" s="14">
        <f>SUM($BE74:BE74)</f>
        <v>30108895.069999892</v>
      </c>
      <c r="BF89" s="14">
        <f>SUM($BE74:BF74)</f>
        <v>42803211.81999999</v>
      </c>
      <c r="BG89" s="14">
        <f>SUM($BE74:BG74)</f>
        <v>-10463411.070000157</v>
      </c>
      <c r="BH89" s="14">
        <f>SUM($BE74:BH74)</f>
        <v>-72787228.48000006</v>
      </c>
    </row>
    <row r="90" spans="56:60" ht="12.75">
      <c r="BD90" s="13">
        <v>2014</v>
      </c>
      <c r="BE90" s="14">
        <f>SUM($BE75:BE75)</f>
        <v>54966620.17000007</v>
      </c>
      <c r="BF90" s="14">
        <f>SUM($BE75:BF75)</f>
        <v>76108307.1099999</v>
      </c>
      <c r="BG90" s="14">
        <f>SUM($BE75:BG75)</f>
        <v>44895147.08999976</v>
      </c>
      <c r="BH90" s="14">
        <f>SUM($BE75:BH75)</f>
        <v>590334.9399998114</v>
      </c>
    </row>
    <row r="91" spans="56:60" ht="12.75">
      <c r="BD91" s="13">
        <v>2015</v>
      </c>
      <c r="BE91" s="14">
        <f>SUM($BE76:BE76)</f>
        <v>56539116.19999997</v>
      </c>
      <c r="BF91" s="14">
        <f>SUM($BE76:BF76)</f>
        <v>75255300.93</v>
      </c>
      <c r="BG91" s="14">
        <f>SUM($BE76:BG76)</f>
        <v>65014813.49999997</v>
      </c>
      <c r="BH91" s="14" t="e">
        <f>SUM($BE76:BH76)</f>
        <v>#REF!</v>
      </c>
    </row>
    <row r="92" spans="56:60" ht="12.75">
      <c r="BD92" s="13">
        <v>2016</v>
      </c>
      <c r="BE92" s="14" t="e">
        <f>SUM($BE77:BE77)</f>
        <v>#REF!</v>
      </c>
      <c r="BF92" s="14"/>
      <c r="BG92" s="14"/>
      <c r="BH92" s="14"/>
    </row>
    <row r="93" ht="12.75"/>
    <row r="94" spans="56:60" ht="12.75">
      <c r="BD94" s="33" t="s">
        <v>192</v>
      </c>
      <c r="BE94" s="34" t="s">
        <v>266</v>
      </c>
      <c r="BF94" s="34" t="s">
        <v>267</v>
      </c>
      <c r="BG94" s="34" t="s">
        <v>268</v>
      </c>
      <c r="BH94" s="34" t="s">
        <v>269</v>
      </c>
    </row>
    <row r="95" spans="56:60" ht="12.75">
      <c r="BD95" s="13">
        <v>2004</v>
      </c>
      <c r="BE95" s="14">
        <f>C35</f>
        <v>32031123.662648756</v>
      </c>
      <c r="BF95" s="14">
        <f>D35</f>
        <v>47525732.8159864</v>
      </c>
      <c r="BG95" s="14">
        <f>E35</f>
        <v>52050527.97141369</v>
      </c>
      <c r="BH95" s="14">
        <f>F35</f>
        <v>42454194.22734289</v>
      </c>
    </row>
    <row r="96" spans="56:60" ht="12.75">
      <c r="BD96" s="13">
        <v>2005</v>
      </c>
      <c r="BE96" s="14">
        <f>G35</f>
        <v>47285184.31599282</v>
      </c>
      <c r="BF96" s="14">
        <f>H35</f>
        <v>94069967.65559292</v>
      </c>
      <c r="BG96" s="14">
        <f>I35</f>
        <v>106074411.45735262</v>
      </c>
      <c r="BH96" s="14">
        <f>J35</f>
        <v>68968823.4944725</v>
      </c>
    </row>
    <row r="97" spans="56:60" ht="12.75">
      <c r="BD97" s="13">
        <v>2006</v>
      </c>
      <c r="BE97" s="14">
        <f>K35</f>
        <v>103383367.24880022</v>
      </c>
      <c r="BF97" s="14">
        <f>L35</f>
        <v>175412788.56007555</v>
      </c>
      <c r="BG97" s="14">
        <f>M35</f>
        <v>98767514.66101755</v>
      </c>
      <c r="BH97" s="14">
        <f>N35</f>
        <v>116357670.27469225</v>
      </c>
    </row>
    <row r="98" spans="56:60" ht="12.75">
      <c r="BD98" s="13">
        <v>2007</v>
      </c>
      <c r="BE98" s="14">
        <f>O35</f>
        <v>145700831.59760442</v>
      </c>
      <c r="BF98" s="14">
        <f>P35</f>
        <v>170841406.64010566</v>
      </c>
      <c r="BG98" s="14">
        <f>Q35</f>
        <v>157439166.1900988</v>
      </c>
      <c r="BH98" s="14">
        <f>R35</f>
        <v>117329840.61840911</v>
      </c>
    </row>
    <row r="99" spans="56:60" ht="12.75">
      <c r="BD99" s="13">
        <v>2008</v>
      </c>
      <c r="BE99" s="14">
        <f>S35</f>
        <v>133811283.0314573</v>
      </c>
      <c r="BF99" s="14">
        <f>T35</f>
        <v>121506973.96201089</v>
      </c>
      <c r="BG99" s="14">
        <f>U35</f>
        <v>128317603.27675022</v>
      </c>
      <c r="BH99" s="14">
        <f>V35</f>
        <v>110061976.19866295</v>
      </c>
    </row>
    <row r="100" spans="56:60" ht="12.75">
      <c r="BD100" s="13">
        <v>2009</v>
      </c>
      <c r="BE100" s="14">
        <f>W35</f>
        <v>117896083.39575371</v>
      </c>
      <c r="BF100" s="14">
        <f>X35</f>
        <v>106615959.92202778</v>
      </c>
      <c r="BG100" s="14">
        <f>Y35</f>
        <v>94682741.57324915</v>
      </c>
      <c r="BH100" s="14">
        <f>Z35</f>
        <v>66950432.87743023</v>
      </c>
    </row>
    <row r="101" spans="56:60" ht="12.75">
      <c r="BD101" s="13">
        <v>2010</v>
      </c>
      <c r="BE101" s="14">
        <f>AA35</f>
        <v>65050536.76581496</v>
      </c>
      <c r="BF101" s="14">
        <f>AB35</f>
        <v>70155684.76346298</v>
      </c>
      <c r="BG101" s="14">
        <f>AC35</f>
        <v>81648450.83468616</v>
      </c>
      <c r="BH101" s="14">
        <f>AD35</f>
        <v>86702888.88256873</v>
      </c>
    </row>
    <row r="102" spans="56:60" ht="12.75">
      <c r="BD102" s="13">
        <v>2011</v>
      </c>
      <c r="BE102" s="14">
        <f>AE$35</f>
        <v>78881532.55669513</v>
      </c>
      <c r="BF102" s="14">
        <f>AF$35</f>
        <v>94967229.4766951</v>
      </c>
      <c r="BG102" s="14">
        <f>AG$35</f>
        <v>98638443.83569512</v>
      </c>
      <c r="BH102" s="14">
        <f>AH$35</f>
        <v>108797191.08569507</v>
      </c>
    </row>
    <row r="103" spans="56:60" ht="12.75">
      <c r="BD103" s="13">
        <v>2012</v>
      </c>
      <c r="BE103" s="14">
        <f>AI35</f>
        <v>113504388.59000002</v>
      </c>
      <c r="BF103" s="14">
        <f>AJ35</f>
        <v>140200853.49999997</v>
      </c>
      <c r="BG103" s="14">
        <f>AK35</f>
        <v>148074087.85</v>
      </c>
      <c r="BH103" s="14">
        <f>AL35</f>
        <v>111865370.17000002</v>
      </c>
    </row>
    <row r="104" spans="56:60" ht="12.75">
      <c r="BD104" s="13">
        <v>2013</v>
      </c>
      <c r="BE104" s="14">
        <f>AM35</f>
        <v>124541726.24000001</v>
      </c>
      <c r="BF104" s="14">
        <f>AN35</f>
        <v>142140697.29000002</v>
      </c>
      <c r="BG104" s="14">
        <f>AO35</f>
        <v>146135772.84</v>
      </c>
      <c r="BH104" s="14">
        <f>AP35</f>
        <v>98702108.01999998</v>
      </c>
    </row>
    <row r="105" spans="56:60" ht="12.75">
      <c r="BD105" s="13">
        <v>2014</v>
      </c>
      <c r="BE105" s="14">
        <f>AQ35</f>
        <v>148774984.14</v>
      </c>
      <c r="BF105" s="14">
        <f>AR35</f>
        <v>156538421.69000003</v>
      </c>
      <c r="BG105" s="14">
        <f>AS35</f>
        <v>131385504.30000004</v>
      </c>
      <c r="BH105" s="14">
        <f>AT35</f>
        <v>161316149.35999998</v>
      </c>
    </row>
    <row r="106" spans="56:60" ht="12.75">
      <c r="BD106" s="13">
        <v>2015</v>
      </c>
      <c r="BE106" s="14">
        <f>AU35</f>
        <v>160933664.11000004</v>
      </c>
      <c r="BF106" s="14">
        <f>AV35</f>
        <v>178666871.71</v>
      </c>
      <c r="BG106" s="14">
        <f>AW35</f>
        <v>172954936.67999998</v>
      </c>
      <c r="BH106" s="14" t="e">
        <f>AX35</f>
        <v>#REF!</v>
      </c>
    </row>
    <row r="107" spans="56:60" ht="12.75">
      <c r="BD107" s="13">
        <v>2016</v>
      </c>
      <c r="BE107" s="14" t="e">
        <f>AY35</f>
        <v>#REF!</v>
      </c>
      <c r="BF107" s="14"/>
      <c r="BG107" s="14"/>
      <c r="BH107" s="14"/>
    </row>
    <row r="108" ht="12.75"/>
    <row r="109" spans="56:60" ht="25.5">
      <c r="BD109" s="33" t="s">
        <v>300</v>
      </c>
      <c r="BE109" s="34" t="s">
        <v>266</v>
      </c>
      <c r="BF109" s="34" t="s">
        <v>267</v>
      </c>
      <c r="BG109" s="34" t="s">
        <v>268</v>
      </c>
      <c r="BH109" s="34" t="s">
        <v>269</v>
      </c>
    </row>
    <row r="110" spans="56:60" ht="12.75">
      <c r="BD110" s="13">
        <v>2004</v>
      </c>
      <c r="BE110" s="14">
        <f>C30</f>
        <v>641447.8091086857</v>
      </c>
      <c r="BF110" s="14">
        <f>D30</f>
        <v>7025473.688852531</v>
      </c>
      <c r="BG110" s="14">
        <f>E30</f>
        <v>-1888081.1000472726</v>
      </c>
      <c r="BH110" s="14">
        <f>F30</f>
        <v>9504428.213797232</v>
      </c>
    </row>
    <row r="111" spans="56:60" ht="12.75">
      <c r="BD111" s="13">
        <v>2005</v>
      </c>
      <c r="BE111" s="14">
        <f>G30</f>
        <v>-3184333.72681605</v>
      </c>
      <c r="BF111" s="14">
        <f>H30</f>
        <v>14868311.504096743</v>
      </c>
      <c r="BG111" s="14">
        <f>I30</f>
        <v>3358348.1299451487</v>
      </c>
      <c r="BH111" s="14">
        <f>J30</f>
        <v>14489810.944869827</v>
      </c>
    </row>
    <row r="112" spans="56:60" ht="12.75">
      <c r="BD112" s="13">
        <v>2006</v>
      </c>
      <c r="BE112" s="14">
        <f>K30</f>
        <v>-6845845.17786612</v>
      </c>
      <c r="BF112" s="14">
        <f>L30</f>
        <v>-17940702.806360483</v>
      </c>
      <c r="BG112" s="14">
        <f>M30</f>
        <v>-3268412.721613638</v>
      </c>
      <c r="BH112" s="14">
        <f>N30</f>
        <v>56369398.57988317</v>
      </c>
    </row>
    <row r="113" spans="56:60" ht="12.75">
      <c r="BD113" s="13">
        <v>2007</v>
      </c>
      <c r="BE113" s="14">
        <f>O30</f>
        <v>-8767521.131747477</v>
      </c>
      <c r="BF113" s="14">
        <f>P30</f>
        <v>-3931886.485242797</v>
      </c>
      <c r="BG113" s="14">
        <f>Q30</f>
        <v>-9603284.194968866</v>
      </c>
      <c r="BH113" s="14">
        <f>R30</f>
        <v>41051234.27358019</v>
      </c>
    </row>
    <row r="114" spans="56:60" ht="12.75">
      <c r="BD114" s="13">
        <v>2008</v>
      </c>
      <c r="BE114" s="14">
        <f>S30</f>
        <v>2957145.8828116017</v>
      </c>
      <c r="BF114" s="14">
        <f>T30</f>
        <v>-5093292.7230197005</v>
      </c>
      <c r="BG114" s="14">
        <f>U30</f>
        <v>10073514.316209283</v>
      </c>
      <c r="BH114" s="14">
        <f>V30</f>
        <v>51954132.43324429</v>
      </c>
    </row>
    <row r="115" spans="56:60" ht="12.75">
      <c r="BD115" s="13">
        <v>2009</v>
      </c>
      <c r="BE115" s="14">
        <f>W30</f>
        <v>29190044.019147944</v>
      </c>
      <c r="BF115" s="14">
        <f>X30</f>
        <v>-875339.1011465713</v>
      </c>
      <c r="BG115" s="14">
        <f>Y30</f>
        <v>6370136.135006946</v>
      </c>
      <c r="BH115" s="14">
        <f>Z30</f>
        <v>-12415700.019173503</v>
      </c>
    </row>
    <row r="116" spans="56:60" ht="12.75">
      <c r="BD116" s="13">
        <v>2010</v>
      </c>
      <c r="BE116" s="14">
        <f>AA30</f>
        <v>11571277.163728882</v>
      </c>
      <c r="BF116" s="14">
        <f>AB30</f>
        <v>-15169272.985824406</v>
      </c>
      <c r="BG116" s="14">
        <f>AC30</f>
        <v>-3133107.148517899</v>
      </c>
      <c r="BH116" s="14">
        <f>AD30</f>
        <v>224491.29587253742</v>
      </c>
    </row>
    <row r="117" spans="56:60" ht="12.75">
      <c r="BD117" s="13">
        <v>2011</v>
      </c>
      <c r="BE117" s="14">
        <f>AE$30</f>
        <v>-4949240.100000003</v>
      </c>
      <c r="BF117" s="14">
        <f>AF$30</f>
        <v>-4786102.330000002</v>
      </c>
      <c r="BG117" s="14">
        <f>AG$30</f>
        <v>-5126034.5100000035</v>
      </c>
      <c r="BH117" s="14">
        <f>AH$30</f>
        <v>9450369.140000012</v>
      </c>
    </row>
    <row r="118" spans="56:60" ht="12.75">
      <c r="BD118" s="13">
        <v>2012</v>
      </c>
      <c r="BE118" s="14">
        <f>AI$30</f>
        <v>-5497536.050000001</v>
      </c>
      <c r="BF118" s="14">
        <f>AJ$30</f>
        <v>-4771295.549999997</v>
      </c>
      <c r="BG118" s="14">
        <f>AK$30</f>
        <v>8156623.339999995</v>
      </c>
      <c r="BH118" s="14">
        <f>AL$30</f>
        <v>908721.8700000015</v>
      </c>
    </row>
    <row r="119" spans="56:60" ht="12.75">
      <c r="BD119" s="13">
        <v>2013</v>
      </c>
      <c r="BE119" s="14">
        <f>AM30</f>
        <v>-3007917.540000001</v>
      </c>
      <c r="BF119" s="14">
        <f>AN30</f>
        <v>-1379430.0299999993</v>
      </c>
      <c r="BG119" s="14">
        <f>AO30</f>
        <v>43063207.18000001</v>
      </c>
      <c r="BH119" s="14">
        <f>AP30</f>
        <v>19922172.33000002</v>
      </c>
    </row>
    <row r="120" spans="56:60" ht="12.75">
      <c r="BD120" s="13">
        <v>2014</v>
      </c>
      <c r="BE120" s="14">
        <f>AQ30</f>
        <v>18636517.730000008</v>
      </c>
      <c r="BF120" s="14">
        <f>AR30</f>
        <v>-6050727.180000011</v>
      </c>
      <c r="BG120" s="14">
        <f>AS30</f>
        <v>-4011643.5400000066</v>
      </c>
      <c r="BH120" s="14">
        <f>AT30</f>
        <v>63537354.69999999</v>
      </c>
    </row>
    <row r="121" spans="56:60" ht="12.75">
      <c r="BD121" s="13">
        <v>2015</v>
      </c>
      <c r="BE121" s="14">
        <f>AU30</f>
        <v>-35605256.70999999</v>
      </c>
      <c r="BF121" s="14">
        <f>AV30</f>
        <v>-8757962.61999999</v>
      </c>
      <c r="BG121" s="14">
        <f>AW30</f>
        <v>3376378.279999979</v>
      </c>
      <c r="BH121" s="14" t="e">
        <f>AX30</f>
        <v>#REF!</v>
      </c>
    </row>
    <row r="122" spans="56:60" ht="12.75">
      <c r="BD122" s="13">
        <v>2016</v>
      </c>
      <c r="BE122" s="14" t="e">
        <f>AY30</f>
        <v>#REF!</v>
      </c>
      <c r="BF122" s="14"/>
      <c r="BG122" s="14"/>
      <c r="BH122" s="14"/>
    </row>
    <row r="123" ht="12.75"/>
    <row r="124" spans="56:60" ht="38.25">
      <c r="BD124" s="33" t="s">
        <v>301</v>
      </c>
      <c r="BE124" s="34" t="s">
        <v>266</v>
      </c>
      <c r="BF124" s="34" t="s">
        <v>267</v>
      </c>
      <c r="BG124" s="34" t="s">
        <v>268</v>
      </c>
      <c r="BH124" s="34" t="s">
        <v>269</v>
      </c>
    </row>
    <row r="125" spans="56:60" ht="12.75">
      <c r="BD125" s="13">
        <v>2004</v>
      </c>
      <c r="BE125" s="14">
        <f>SUM($BE110:BE110)</f>
        <v>641447.8091086857</v>
      </c>
      <c r="BF125" s="14">
        <f>SUM($BE110:BF110)</f>
        <v>7666921.497961217</v>
      </c>
      <c r="BG125" s="14">
        <f>SUM($BE110:BG110)</f>
        <v>5778840.397913944</v>
      </c>
      <c r="BH125" s="14">
        <f>SUM($BE110:BH110)</f>
        <v>15283268.611711176</v>
      </c>
    </row>
    <row r="126" spans="56:60" ht="12.75">
      <c r="BD126" s="13">
        <v>2005</v>
      </c>
      <c r="BE126" s="14">
        <f>SUM($BE111:BE111)</f>
        <v>-3184333.72681605</v>
      </c>
      <c r="BF126" s="14">
        <f>SUM($BE111:BF111)</f>
        <v>11683977.777280692</v>
      </c>
      <c r="BG126" s="14">
        <f>SUM($BE111:BG111)</f>
        <v>15042325.90722584</v>
      </c>
      <c r="BH126" s="14">
        <f>SUM($BE111:BH111)</f>
        <v>29532136.852095667</v>
      </c>
    </row>
    <row r="127" spans="56:60" ht="12.75">
      <c r="BD127" s="13">
        <v>2006</v>
      </c>
      <c r="BE127" s="14">
        <f>SUM($BE112:BE112)</f>
        <v>-6845845.17786612</v>
      </c>
      <c r="BF127" s="14">
        <f>SUM($BE112:BF112)</f>
        <v>-24786547.984226603</v>
      </c>
      <c r="BG127" s="14">
        <f>SUM($BE112:BG112)</f>
        <v>-28054960.70584024</v>
      </c>
      <c r="BH127" s="14">
        <f>SUM($BE112:BH112)</f>
        <v>28314437.874042932</v>
      </c>
    </row>
    <row r="128" spans="56:60" ht="12.75">
      <c r="BD128" s="13">
        <v>2007</v>
      </c>
      <c r="BE128" s="14">
        <f>SUM($BE113:BE113)</f>
        <v>-8767521.131747477</v>
      </c>
      <c r="BF128" s="14">
        <f>SUM($BE113:BF113)</f>
        <v>-12699407.616990274</v>
      </c>
      <c r="BG128" s="14">
        <f>SUM($BE113:BG113)</f>
        <v>-22302691.81195914</v>
      </c>
      <c r="BH128" s="14">
        <f>SUM($BE113:BH113)</f>
        <v>18748542.461621054</v>
      </c>
    </row>
    <row r="129" spans="56:60" ht="12.75">
      <c r="BD129" s="13">
        <v>2008</v>
      </c>
      <c r="BE129" s="14">
        <f>SUM($BE114:BE114)</f>
        <v>2957145.8828116017</v>
      </c>
      <c r="BF129" s="14">
        <f>SUM($BE114:BF114)</f>
        <v>-2136146.8402080988</v>
      </c>
      <c r="BG129" s="14">
        <f>SUM($BE114:BG114)</f>
        <v>7937367.476001184</v>
      </c>
      <c r="BH129" s="14">
        <f>SUM($BE114:BH114)</f>
        <v>59891499.909245476</v>
      </c>
    </row>
    <row r="130" spans="56:60" ht="12.75">
      <c r="BD130" s="13">
        <v>2009</v>
      </c>
      <c r="BE130" s="14">
        <f>SUM($BE115:BE115)</f>
        <v>29190044.019147944</v>
      </c>
      <c r="BF130" s="14">
        <f>SUM($BE115:BF115)</f>
        <v>28314704.918001372</v>
      </c>
      <c r="BG130" s="14">
        <f>SUM($BE115:BG115)</f>
        <v>34684841.05300832</v>
      </c>
      <c r="BH130" s="14">
        <f>SUM($BE115:BH115)</f>
        <v>22269141.033834815</v>
      </c>
    </row>
    <row r="131" spans="56:60" ht="12.75">
      <c r="BD131" s="13">
        <v>2010</v>
      </c>
      <c r="BE131" s="14">
        <f>SUM($BE116:BE116)</f>
        <v>11571277.163728882</v>
      </c>
      <c r="BF131" s="14">
        <f>SUM($BE116:BF116)</f>
        <v>-3597995.8220955245</v>
      </c>
      <c r="BG131" s="14">
        <f>SUM($BE116:BG116)</f>
        <v>-6731102.970613424</v>
      </c>
      <c r="BH131" s="14">
        <f>SUM($BE116:BH116)</f>
        <v>-6506611.674740886</v>
      </c>
    </row>
    <row r="132" spans="56:60" ht="12.75">
      <c r="BD132" s="13">
        <v>2011</v>
      </c>
      <c r="BE132" s="14">
        <f>SUM($BE117:BE117)</f>
        <v>-4949240.100000003</v>
      </c>
      <c r="BF132" s="14">
        <f>SUM($BE117:BF117)</f>
        <v>-9735342.430000005</v>
      </c>
      <c r="BG132" s="14">
        <f>SUM($BE117:BG117)</f>
        <v>-14861376.940000009</v>
      </c>
      <c r="BH132" s="14">
        <f>SUM($BE117:BH117)</f>
        <v>-5411007.799999997</v>
      </c>
    </row>
    <row r="133" spans="56:60" ht="12.75">
      <c r="BD133" s="13">
        <v>2012</v>
      </c>
      <c r="BE133" s="14">
        <f>SUM($BE118:BE118)</f>
        <v>-5497536.050000001</v>
      </c>
      <c r="BF133" s="14">
        <f>SUM($BE118:BF118)</f>
        <v>-10268831.599999998</v>
      </c>
      <c r="BG133" s="14">
        <f>SUM($BE118:BG118)</f>
        <v>-2112208.2600000026</v>
      </c>
      <c r="BH133" s="14">
        <f>SUM($BE118:BH118)</f>
        <v>-1203486.390000001</v>
      </c>
    </row>
    <row r="134" spans="56:60" ht="12.75">
      <c r="BD134" s="13">
        <v>2013</v>
      </c>
      <c r="BE134" s="14">
        <f>SUM($BE119:BE119)</f>
        <v>-3007917.540000001</v>
      </c>
      <c r="BF134" s="14">
        <f>SUM($BE119:BF119)</f>
        <v>-4387347.57</v>
      </c>
      <c r="BG134" s="14">
        <f>SUM($BE119:BG119)</f>
        <v>38675859.61000001</v>
      </c>
      <c r="BH134" s="14">
        <f>SUM($BE119:BH119)</f>
        <v>58598031.94000003</v>
      </c>
    </row>
    <row r="135" spans="56:60" ht="12.75">
      <c r="BD135" s="13">
        <v>2014</v>
      </c>
      <c r="BE135" s="14">
        <f>SUM($BE120:BE120)</f>
        <v>18636517.730000008</v>
      </c>
      <c r="BF135" s="14">
        <f>SUM($BE120:BF120)</f>
        <v>12585790.549999997</v>
      </c>
      <c r="BG135" s="14">
        <f>SUM($BE120:BG120)</f>
        <v>8574147.00999999</v>
      </c>
      <c r="BH135" s="14">
        <f>SUM($BE120:BH120)</f>
        <v>72111501.70999998</v>
      </c>
    </row>
    <row r="136" spans="56:60" ht="12.75">
      <c r="BD136" s="13">
        <v>2015</v>
      </c>
      <c r="BE136" s="14">
        <f>SUM($BE121:BE121)</f>
        <v>-35605256.70999999</v>
      </c>
      <c r="BF136" s="14">
        <f>SUM($BE121:BF121)</f>
        <v>-44363219.32999998</v>
      </c>
      <c r="BG136" s="14">
        <f>SUM($BE121:BG121)</f>
        <v>-40986841.050000004</v>
      </c>
      <c r="BH136" s="14" t="e">
        <f>SUM($BE121:BH121)</f>
        <v>#REF!</v>
      </c>
    </row>
    <row r="137" spans="56:60" ht="12.75">
      <c r="BD137" s="13">
        <v>2016</v>
      </c>
      <c r="BE137" s="14" t="e">
        <f>SUM($BE122:BE122)</f>
        <v>#REF!</v>
      </c>
      <c r="BF137" s="14"/>
      <c r="BG137" s="14"/>
      <c r="BH137" s="14"/>
    </row>
    <row r="138" ht="12.75"/>
    <row r="139" spans="56:61" ht="12.75">
      <c r="BD139" s="33" t="s">
        <v>223</v>
      </c>
      <c r="BE139" s="34" t="s">
        <v>266</v>
      </c>
      <c r="BF139" s="34" t="s">
        <v>267</v>
      </c>
      <c r="BG139" s="34" t="s">
        <v>268</v>
      </c>
      <c r="BH139" s="34" t="s">
        <v>269</v>
      </c>
      <c r="BI139" s="34" t="s">
        <v>196</v>
      </c>
    </row>
    <row r="140" spans="56:61" ht="12.75">
      <c r="BD140" s="13">
        <v>2004</v>
      </c>
      <c r="BE140" s="14">
        <f>C16</f>
        <v>72482656.95294824</v>
      </c>
      <c r="BF140" s="14">
        <f>D16</f>
        <v>101187728.60174099</v>
      </c>
      <c r="BG140" s="14">
        <f>E16</f>
        <v>68546735.62690932</v>
      </c>
      <c r="BH140" s="14">
        <f>F16</f>
        <v>92884176.65499222</v>
      </c>
      <c r="BI140" s="14">
        <f aca="true" t="shared" si="28" ref="BI140:BI148">SUM(BE140:BH140)</f>
        <v>335101297.83659077</v>
      </c>
    </row>
    <row r="141" spans="56:61" ht="12.75">
      <c r="BD141" s="13">
        <v>2005</v>
      </c>
      <c r="BE141" s="41">
        <f>G16</f>
        <v>58237009.32151394</v>
      </c>
      <c r="BF141" s="14">
        <f>H16</f>
        <v>107434268.0141373</v>
      </c>
      <c r="BG141" s="14">
        <f>I16</f>
        <v>97535382.5815193</v>
      </c>
      <c r="BH141" s="14">
        <f>J16</f>
        <v>102621170.07848355</v>
      </c>
      <c r="BI141" s="14">
        <f t="shared" si="28"/>
        <v>365827829.9956541</v>
      </c>
    </row>
    <row r="142" spans="56:61" ht="12.75">
      <c r="BD142" s="13">
        <v>2006</v>
      </c>
      <c r="BE142" s="14">
        <f>K16</f>
        <v>88969667.03948462</v>
      </c>
      <c r="BF142" s="14">
        <f>L16</f>
        <v>121109065.91547045</v>
      </c>
      <c r="BG142" s="14">
        <f>M16</f>
        <v>79208363.47813585</v>
      </c>
      <c r="BH142" s="14">
        <f>N16</f>
        <v>113240202.77120912</v>
      </c>
      <c r="BI142" s="14">
        <f t="shared" si="28"/>
        <v>402527299.20430005</v>
      </c>
    </row>
    <row r="143" spans="56:61" ht="12.75">
      <c r="BD143" s="13">
        <v>2007</v>
      </c>
      <c r="BE143" s="14">
        <f>O16</f>
        <v>104513845.56389247</v>
      </c>
      <c r="BF143" s="14">
        <f>P16</f>
        <v>139582436.59964478</v>
      </c>
      <c r="BG143" s="14">
        <f>Q16</f>
        <v>98597138.54894966</v>
      </c>
      <c r="BH143" s="14">
        <f>R16</f>
        <v>135318584.50909477</v>
      </c>
      <c r="BI143" s="14">
        <f t="shared" si="28"/>
        <v>478012005.2215817</v>
      </c>
    </row>
    <row r="144" spans="56:61" ht="12.75">
      <c r="BD144" s="13">
        <v>2008</v>
      </c>
      <c r="BE144" s="14">
        <f>S16</f>
        <v>127126607.38307364</v>
      </c>
      <c r="BF144" s="14">
        <f>T16</f>
        <v>176103365.1266089</v>
      </c>
      <c r="BG144" s="14">
        <f>U16</f>
        <v>112174695.83296067</v>
      </c>
      <c r="BH144" s="14">
        <f>V16</f>
        <v>156349960.9570127</v>
      </c>
      <c r="BI144" s="14">
        <f t="shared" si="28"/>
        <v>571754629.2996559</v>
      </c>
    </row>
    <row r="145" spans="56:61" ht="12.75">
      <c r="BD145" s="13">
        <v>2009</v>
      </c>
      <c r="BE145" s="14">
        <f>W16</f>
        <v>136902933.46094358</v>
      </c>
      <c r="BF145" s="14">
        <f>X16</f>
        <v>157874936.4034357</v>
      </c>
      <c r="BG145" s="14">
        <f>Y16</f>
        <v>124980849.08862007</v>
      </c>
      <c r="BH145" s="14">
        <f>Z16</f>
        <v>137390790.71363783</v>
      </c>
      <c r="BI145" s="14">
        <f t="shared" si="28"/>
        <v>557149509.6666372</v>
      </c>
    </row>
    <row r="146" spans="56:61" ht="12.75">
      <c r="BD146" s="13">
        <v>2010</v>
      </c>
      <c r="BE146" s="14">
        <f>AA16</f>
        <v>129491264.57505152</v>
      </c>
      <c r="BF146" s="14">
        <f>AB16</f>
        <v>147416601.72561434</v>
      </c>
      <c r="BG146" s="14">
        <f>AC16</f>
        <v>117690165.32153958</v>
      </c>
      <c r="BH146" s="14">
        <f>AD16</f>
        <v>132129365.38736868</v>
      </c>
      <c r="BI146" s="14">
        <f t="shared" si="28"/>
        <v>526727397.0095741</v>
      </c>
    </row>
    <row r="147" spans="56:61" ht="12.75">
      <c r="BD147" s="13">
        <v>2011</v>
      </c>
      <c r="BE147" s="14">
        <f>AE$16</f>
        <v>127638347.52000004</v>
      </c>
      <c r="BF147" s="14">
        <f>AF$16</f>
        <v>143497826.56699997</v>
      </c>
      <c r="BG147" s="14">
        <f>AG$16</f>
        <v>120030620.85299993</v>
      </c>
      <c r="BH147" s="14">
        <f>AH$16</f>
        <v>137493829.8400001</v>
      </c>
      <c r="BI147" s="14">
        <f t="shared" si="28"/>
        <v>528660624.78000003</v>
      </c>
    </row>
    <row r="148" spans="56:61" ht="12.75">
      <c r="BD148" s="13">
        <v>2012</v>
      </c>
      <c r="BE148" s="14">
        <f>AI16</f>
        <v>129999882.6900001</v>
      </c>
      <c r="BF148" s="14">
        <f>AJ16</f>
        <v>139980888.46999997</v>
      </c>
      <c r="BG148" s="14">
        <f>AK16</f>
        <v>128312748.93000014</v>
      </c>
      <c r="BH148" s="14">
        <f>AL16</f>
        <v>141575972.08999974</v>
      </c>
      <c r="BI148" s="14">
        <f t="shared" si="28"/>
        <v>539869492.18</v>
      </c>
    </row>
    <row r="149" spans="56:61" ht="12.75">
      <c r="BD149" s="13">
        <v>2013</v>
      </c>
      <c r="BE149" s="14">
        <f>AM16</f>
        <v>135389304.96000004</v>
      </c>
      <c r="BF149" s="14">
        <f>AN16</f>
        <v>162320740.03999984</v>
      </c>
      <c r="BG149" s="14">
        <f>AO16</f>
        <v>126182971.9100002</v>
      </c>
      <c r="BH149" s="14">
        <f>AP16</f>
        <v>161882378.71000016</v>
      </c>
      <c r="BI149" s="14">
        <f>SUM(BE149:BH149)</f>
        <v>585775395.6200002</v>
      </c>
    </row>
    <row r="150" spans="56:61" ht="12.75">
      <c r="BD150" s="13">
        <v>2014</v>
      </c>
      <c r="BE150" s="14">
        <f>AQ16</f>
        <v>146461496.26000002</v>
      </c>
      <c r="BF150" s="14">
        <f>AR16</f>
        <v>176470993.14000002</v>
      </c>
      <c r="BG150" s="14">
        <f>AS16</f>
        <v>135773613.90999994</v>
      </c>
      <c r="BH150" s="14">
        <f>AT16</f>
        <v>169298556.0499998</v>
      </c>
      <c r="BI150" s="14">
        <f>SUM(BE150:BH150)</f>
        <v>628004659.3599998</v>
      </c>
    </row>
    <row r="151" spans="56:61" ht="12.75">
      <c r="BD151" s="13">
        <v>2015</v>
      </c>
      <c r="BE151" s="14">
        <f>AU16</f>
        <v>159207624.19</v>
      </c>
      <c r="BF151" s="14">
        <f>AV16</f>
        <v>189607600.43999994</v>
      </c>
      <c r="BG151" s="14">
        <f>AW16</f>
        <v>147853321.63000005</v>
      </c>
      <c r="BH151" s="14" t="e">
        <f>AX16</f>
        <v>#REF!</v>
      </c>
      <c r="BI151" s="14" t="e">
        <f>SUM(BE151:BH151)</f>
        <v>#REF!</v>
      </c>
    </row>
    <row r="152" spans="56:61" ht="12.75">
      <c r="BD152" s="13">
        <v>2016</v>
      </c>
      <c r="BE152" s="14" t="e">
        <f>AY16</f>
        <v>#REF!</v>
      </c>
      <c r="BF152" s="14"/>
      <c r="BG152" s="14"/>
      <c r="BH152" s="14"/>
      <c r="BI152" s="14" t="e">
        <f>SUM(BE152:BH152)</f>
        <v>#REF!</v>
      </c>
    </row>
    <row r="153" spans="56:61" ht="12.75">
      <c r="BD153" s="10" t="s">
        <v>279</v>
      </c>
      <c r="BE153" s="30" t="e">
        <f>BE152/BE151-1</f>
        <v>#REF!</v>
      </c>
      <c r="BF153" s="30">
        <f>BF152/BF151-1</f>
        <v>-1</v>
      </c>
      <c r="BG153" s="30">
        <f>BG152/BG151-1</f>
        <v>-1</v>
      </c>
      <c r="BH153" s="30" t="e">
        <f>BH152/BH151-1</f>
        <v>#REF!</v>
      </c>
      <c r="BI153" s="30" t="e">
        <f>BI152/BI151-1</f>
        <v>#REF!</v>
      </c>
    </row>
    <row r="154" ht="12.75"/>
    <row r="155" spans="56:61" ht="25.5">
      <c r="BD155" s="33" t="s">
        <v>39</v>
      </c>
      <c r="BE155" s="34" t="s">
        <v>266</v>
      </c>
      <c r="BF155" s="34" t="s">
        <v>267</v>
      </c>
      <c r="BG155" s="34" t="s">
        <v>268</v>
      </c>
      <c r="BH155" s="34" t="s">
        <v>269</v>
      </c>
      <c r="BI155" s="34" t="s">
        <v>196</v>
      </c>
    </row>
    <row r="156" spans="56:61" ht="12.75">
      <c r="BD156" s="13">
        <v>2004</v>
      </c>
      <c r="BE156" s="14">
        <f>C17</f>
        <v>67626041.73831482</v>
      </c>
      <c r="BF156" s="14">
        <f>D17</f>
        <v>71201291.26757784</v>
      </c>
      <c r="BG156" s="14">
        <f>E17</f>
        <v>60820698.4482252</v>
      </c>
      <c r="BH156" s="14">
        <f>F17</f>
        <v>81927291.21726122</v>
      </c>
      <c r="BI156" s="14">
        <f aca="true" t="shared" si="29" ref="BI156:BI164">SUM(BE156:BH156)</f>
        <v>281575322.6713791</v>
      </c>
    </row>
    <row r="157" spans="56:61" ht="12.75">
      <c r="BD157" s="13">
        <v>2005</v>
      </c>
      <c r="BE157" s="41">
        <f>G17</f>
        <v>45933183.5191032</v>
      </c>
      <c r="BF157" s="14">
        <f>H17</f>
        <v>91045134.21254459</v>
      </c>
      <c r="BG157" s="14">
        <f>I17</f>
        <v>97474504.30125397</v>
      </c>
      <c r="BH157" s="14">
        <f>J17</f>
        <v>79866070.56382853</v>
      </c>
      <c r="BI157" s="14">
        <f t="shared" si="29"/>
        <v>314318892.5967303</v>
      </c>
    </row>
    <row r="158" spans="56:61" ht="12.75">
      <c r="BD158" s="13">
        <v>2006</v>
      </c>
      <c r="BE158" s="14">
        <f>K17</f>
        <v>82795687.2413176</v>
      </c>
      <c r="BF158" s="14">
        <f>L17</f>
        <v>88096190.1165748</v>
      </c>
      <c r="BG158" s="14">
        <f>M17</f>
        <v>78130796.71315181</v>
      </c>
      <c r="BH158" s="14">
        <f>N17</f>
        <v>114639932.09898627</v>
      </c>
      <c r="BI158" s="14">
        <f t="shared" si="29"/>
        <v>363662606.1700305</v>
      </c>
    </row>
    <row r="159" spans="56:61" ht="12.75">
      <c r="BD159" s="13">
        <v>2007</v>
      </c>
      <c r="BE159" s="14">
        <f>O17</f>
        <v>91417068.24549745</v>
      </c>
      <c r="BF159" s="14">
        <f>P17</f>
        <v>100883064.7571996</v>
      </c>
      <c r="BG159" s="14">
        <f>Q17</f>
        <v>88663851.07882863</v>
      </c>
      <c r="BH159" s="14">
        <f>R17</f>
        <v>126471586.39084536</v>
      </c>
      <c r="BI159" s="14">
        <f t="shared" si="29"/>
        <v>407435570.47237104</v>
      </c>
    </row>
    <row r="160" spans="56:61" ht="12.75">
      <c r="BD160" s="13">
        <v>2008</v>
      </c>
      <c r="BE160" s="14">
        <f>S17</f>
        <v>111329719.33781141</v>
      </c>
      <c r="BF160" s="14">
        <f>T17</f>
        <v>113112838.87930936</v>
      </c>
      <c r="BG160" s="14">
        <f>U17</f>
        <v>109836594.16039252</v>
      </c>
      <c r="BH160" s="14">
        <f>V17</f>
        <v>140164719.0910486</v>
      </c>
      <c r="BI160" s="14">
        <f t="shared" si="29"/>
        <v>474443871.4685619</v>
      </c>
    </row>
    <row r="161" spans="56:61" ht="12.75">
      <c r="BD161" s="13">
        <v>2009</v>
      </c>
      <c r="BE161" s="14">
        <f>W17</f>
        <v>111802330.35739392</v>
      </c>
      <c r="BF161" s="14">
        <f>X17</f>
        <v>101199771.13430399</v>
      </c>
      <c r="BG161" s="14">
        <f>Y17</f>
        <v>94435604.11654913</v>
      </c>
      <c r="BH161" s="14">
        <f>Z17</f>
        <v>81600166.52371776</v>
      </c>
      <c r="BI161" s="14">
        <f t="shared" si="29"/>
        <v>389037872.1319648</v>
      </c>
    </row>
    <row r="162" spans="56:61" ht="12.75">
      <c r="BD162" s="13">
        <v>2010</v>
      </c>
      <c r="BE162" s="14">
        <f>AA17</f>
        <v>101667117.18648146</v>
      </c>
      <c r="BF162" s="14">
        <f>AB17</f>
        <v>87449503.38028707</v>
      </c>
      <c r="BG162" s="14">
        <f>AC17</f>
        <v>75685458.30595782</v>
      </c>
      <c r="BH162" s="14">
        <f>AD17</f>
        <v>108025656.00258198</v>
      </c>
      <c r="BI162" s="14">
        <f t="shared" si="29"/>
        <v>372827734.87530833</v>
      </c>
    </row>
    <row r="163" spans="56:61" ht="12.75">
      <c r="BD163" s="13">
        <v>2011</v>
      </c>
      <c r="BE163" s="14">
        <f>AE$17</f>
        <v>111865274.06</v>
      </c>
      <c r="BF163" s="14">
        <f>AF$17</f>
        <v>94409193.51999995</v>
      </c>
      <c r="BG163" s="14">
        <f>AG$17</f>
        <v>82445468.57900015</v>
      </c>
      <c r="BH163" s="14">
        <f>AH$17</f>
        <v>113322882.43499976</v>
      </c>
      <c r="BI163" s="14">
        <f t="shared" si="29"/>
        <v>402042818.59399986</v>
      </c>
    </row>
    <row r="164" spans="56:61" ht="12.75">
      <c r="BD164" s="13">
        <v>2012</v>
      </c>
      <c r="BE164" s="14">
        <f>AI17</f>
        <v>105617256.88999997</v>
      </c>
      <c r="BF164" s="14">
        <f>AJ17</f>
        <v>101777630.65000002</v>
      </c>
      <c r="BG164" s="14">
        <f>AK17</f>
        <v>90332964.14</v>
      </c>
      <c r="BH164" s="14">
        <f>AL17</f>
        <v>119598514.69999993</v>
      </c>
      <c r="BI164" s="14">
        <f t="shared" si="29"/>
        <v>417326366.37999994</v>
      </c>
    </row>
    <row r="165" spans="56:61" ht="12.75">
      <c r="BD165" s="13">
        <v>2013</v>
      </c>
      <c r="BE165" s="14">
        <f>AM17</f>
        <v>114191294.88</v>
      </c>
      <c r="BF165" s="14">
        <f>AN17</f>
        <v>111714633.71000004</v>
      </c>
      <c r="BG165" s="14">
        <f>AO17</f>
        <v>88293381.75999999</v>
      </c>
      <c r="BH165" s="14">
        <f>AP17</f>
        <v>124765446.25999993</v>
      </c>
      <c r="BI165" s="14">
        <f>SUM(BE165:BH165)</f>
        <v>438964756.60999995</v>
      </c>
    </row>
    <row r="166" spans="56:61" ht="12.75">
      <c r="BD166" s="13">
        <v>2014</v>
      </c>
      <c r="BE166" s="14">
        <f>AQ17</f>
        <v>111226755.31999996</v>
      </c>
      <c r="BF166" s="14">
        <f>AR17</f>
        <v>113711199.28000006</v>
      </c>
      <c r="BG166" s="14">
        <f>AS17</f>
        <v>90116418.13</v>
      </c>
      <c r="BH166" s="14">
        <f>AT17</f>
        <v>128216584.53000009</v>
      </c>
      <c r="BI166" s="14">
        <f>SUM(BE166:BH166)</f>
        <v>443270957.2600001</v>
      </c>
    </row>
    <row r="167" spans="56:61" ht="12.75">
      <c r="BD167" s="13">
        <v>2015</v>
      </c>
      <c r="BE167" s="14">
        <f>AU17</f>
        <v>118832444.85000001</v>
      </c>
      <c r="BF167" s="14">
        <f>AV17</f>
        <v>117149268.15999998</v>
      </c>
      <c r="BG167" s="14">
        <f>AW17</f>
        <v>94144342.14000006</v>
      </c>
      <c r="BH167" s="14" t="e">
        <f>AX17</f>
        <v>#REF!</v>
      </c>
      <c r="BI167" s="14" t="e">
        <f>SUM(BE167:BH167)</f>
        <v>#REF!</v>
      </c>
    </row>
    <row r="168" spans="56:61" ht="12.75">
      <c r="BD168" s="13">
        <v>2016</v>
      </c>
      <c r="BE168" s="14" t="e">
        <f>AY17</f>
        <v>#REF!</v>
      </c>
      <c r="BF168" s="14"/>
      <c r="BG168" s="14"/>
      <c r="BH168" s="14"/>
      <c r="BI168" s="14" t="e">
        <f>SUM(BE168:BH168)</f>
        <v>#REF!</v>
      </c>
    </row>
    <row r="169" spans="56:61" ht="12.75">
      <c r="BD169" s="10" t="s">
        <v>279</v>
      </c>
      <c r="BE169" s="30" t="e">
        <f>BE168/BE167-1</f>
        <v>#REF!</v>
      </c>
      <c r="BF169" s="30">
        <f>BF168/BF167-1</f>
        <v>-1</v>
      </c>
      <c r="BG169" s="30">
        <f>BG168/BG167-1</f>
        <v>-1</v>
      </c>
      <c r="BH169" s="30" t="e">
        <f>BH168/BH167-1</f>
        <v>#REF!</v>
      </c>
      <c r="BI169" s="30" t="e">
        <f>BI168/BI167-1</f>
        <v>#REF!</v>
      </c>
    </row>
    <row r="170" ht="12.75"/>
    <row r="171" spans="56:61" ht="38.25">
      <c r="BD171" s="33" t="s">
        <v>302</v>
      </c>
      <c r="BE171" s="34" t="s">
        <v>266</v>
      </c>
      <c r="BF171" s="34" t="s">
        <v>267</v>
      </c>
      <c r="BG171" s="34" t="s">
        <v>268</v>
      </c>
      <c r="BH171" s="34" t="s">
        <v>269</v>
      </c>
      <c r="BI171" s="34" t="s">
        <v>196</v>
      </c>
    </row>
    <row r="172" spans="56:61" ht="12.75">
      <c r="BD172" s="13">
        <v>2004</v>
      </c>
      <c r="BE172" s="14">
        <f>-C22-C24</f>
        <v>13323088.998887938</v>
      </c>
      <c r="BF172" s="14">
        <f>-D22-D24</f>
        <v>23554277.52802526</v>
      </c>
      <c r="BG172" s="14">
        <f>-E22-E24</f>
        <v>48565208.519422755</v>
      </c>
      <c r="BH172" s="14">
        <f>-F22-F24</f>
        <v>45494584.94375776</v>
      </c>
      <c r="BI172" s="14">
        <f aca="true" t="shared" si="30" ref="BI172:BI179">SUM(BE172:BH172)</f>
        <v>130937159.99009371</v>
      </c>
    </row>
    <row r="173" spans="56:61" ht="12.75">
      <c r="BD173" s="13">
        <v>2005</v>
      </c>
      <c r="BE173" s="14">
        <f>-G22-G24</f>
        <v>11373981.236818222</v>
      </c>
      <c r="BF173" s="14">
        <f>-H22-H24</f>
        <v>32429248.031521235</v>
      </c>
      <c r="BG173" s="14">
        <f>-I22-I24</f>
        <v>82558285.19678397</v>
      </c>
      <c r="BH173" s="14">
        <f>-J22-J24</f>
        <v>56285687.036800295</v>
      </c>
      <c r="BI173" s="14">
        <f t="shared" si="30"/>
        <v>182647201.50192374</v>
      </c>
    </row>
    <row r="174" spans="56:61" ht="12.75">
      <c r="BD174" s="13">
        <v>2006</v>
      </c>
      <c r="BE174" s="14">
        <f>-K22-K24</f>
        <v>24307632.212109976</v>
      </c>
      <c r="BF174" s="14">
        <f>-L22-L24</f>
        <v>52081301.536436036</v>
      </c>
      <c r="BG174" s="14">
        <f>-M22-M24</f>
        <v>97825686.51975511</v>
      </c>
      <c r="BH174" s="14">
        <f>-N22-N24</f>
        <v>94053869.93325068</v>
      </c>
      <c r="BI174" s="14">
        <f t="shared" si="30"/>
        <v>268268490.2015518</v>
      </c>
    </row>
    <row r="175" spans="56:61" ht="12.75">
      <c r="BD175" s="13">
        <v>2007</v>
      </c>
      <c r="BE175" s="14">
        <f>-O22-O24</f>
        <v>24415825.632405758</v>
      </c>
      <c r="BF175" s="14">
        <f>-P22-P24</f>
        <v>55881708.28742349</v>
      </c>
      <c r="BG175" s="14">
        <f>-Q22-Q24</f>
        <v>97489548.17596154</v>
      </c>
      <c r="BH175" s="14">
        <f>-R22-R24</f>
        <v>96050309.39437322</v>
      </c>
      <c r="BI175" s="14">
        <f t="shared" si="30"/>
        <v>273837391.49016404</v>
      </c>
    </row>
    <row r="176" spans="56:61" ht="12.75">
      <c r="BD176" s="13">
        <v>2008</v>
      </c>
      <c r="BE176" s="14">
        <f>-S22-S24</f>
        <v>44292873.38463309</v>
      </c>
      <c r="BF176" s="14">
        <f>-T22-T24</f>
        <v>64228345.03278665</v>
      </c>
      <c r="BG176" s="14">
        <f>-U22-U24</f>
        <v>100359781.93083484</v>
      </c>
      <c r="BH176" s="14">
        <f>-V22-V24</f>
        <v>91769226.91965032</v>
      </c>
      <c r="BI176" s="14">
        <f t="shared" si="30"/>
        <v>300650227.2679049</v>
      </c>
    </row>
    <row r="177" spans="56:61" ht="12.75">
      <c r="BD177" s="13">
        <v>2009</v>
      </c>
      <c r="BE177" s="14">
        <f>-W22-W24</f>
        <v>38842668.475579366</v>
      </c>
      <c r="BF177" s="14">
        <f>-X22-X24</f>
        <v>52828062.997072816</v>
      </c>
      <c r="BG177" s="14">
        <f>-Y22-Y24</f>
        <v>77380161.5507523</v>
      </c>
      <c r="BH177" s="14">
        <f>-Z22-Z24</f>
        <v>46989986.43238779</v>
      </c>
      <c r="BI177" s="14">
        <f t="shared" si="30"/>
        <v>216040879.45579228</v>
      </c>
    </row>
    <row r="178" spans="56:61" ht="12.75">
      <c r="BD178" s="13">
        <v>2010</v>
      </c>
      <c r="BE178" s="14">
        <f>-AA22-AA24</f>
        <v>37203911.983434096</v>
      </c>
      <c r="BF178" s="14">
        <f>-AB22-AB24</f>
        <v>29031504.560096137</v>
      </c>
      <c r="BG178" s="14">
        <f>-AC22-AC24</f>
        <v>48413468.08763565</v>
      </c>
      <c r="BH178" s="14">
        <f>-AD22-AD24</f>
        <v>45714815.4007899</v>
      </c>
      <c r="BI178" s="14">
        <f t="shared" si="30"/>
        <v>160363700.03195578</v>
      </c>
    </row>
    <row r="179" spans="56:61" ht="12.75">
      <c r="BD179" s="13">
        <v>2011</v>
      </c>
      <c r="BE179" s="14">
        <f>-AE$22-AE24</f>
        <v>24108236.249999996</v>
      </c>
      <c r="BF179" s="14">
        <f>-AF$22-AF24</f>
        <v>31087982.56000001</v>
      </c>
      <c r="BG179" s="14">
        <f>-AG$22-AG24</f>
        <v>47946081.589999974</v>
      </c>
      <c r="BH179" s="14">
        <f>-AH$22-AH24</f>
        <v>63064832.47000003</v>
      </c>
      <c r="BI179" s="14">
        <f t="shared" si="30"/>
        <v>166207132.87</v>
      </c>
    </row>
    <row r="180" spans="56:61" ht="12.75">
      <c r="BD180" s="13">
        <v>2012</v>
      </c>
      <c r="BE180" s="14">
        <f>-AI$22-AI24</f>
        <v>34684086.379999995</v>
      </c>
      <c r="BF180" s="14">
        <f>-AJ$22-AJ24</f>
        <v>46817096.99999999</v>
      </c>
      <c r="BG180" s="14">
        <f>-AK$22-AK24</f>
        <v>90410525.36000001</v>
      </c>
      <c r="BH180" s="14">
        <f>-AL$22-AL24</f>
        <v>88183495.48</v>
      </c>
      <c r="BI180" s="14">
        <f>SUM(BE180:BH180)</f>
        <v>260095204.22000003</v>
      </c>
    </row>
    <row r="181" spans="56:61" ht="12.75">
      <c r="BD181" s="13">
        <v>2013</v>
      </c>
      <c r="BE181" s="14">
        <f>-AM22-AM24</f>
        <v>38972633.84</v>
      </c>
      <c r="BF181" s="14">
        <f>-AN22-AN24</f>
        <v>64182419.86999999</v>
      </c>
      <c r="BG181" s="14">
        <f>-AO22-AO24</f>
        <v>119462582.94999997</v>
      </c>
      <c r="BH181" s="14">
        <f>-AP22-AP24</f>
        <v>97654917.07000004</v>
      </c>
      <c r="BI181" s="14">
        <f>SUM(BE181:BH181)</f>
        <v>320272553.73</v>
      </c>
    </row>
    <row r="182" spans="56:61" ht="12.75">
      <c r="BD182" s="13">
        <v>2014</v>
      </c>
      <c r="BE182" s="14">
        <f>-AQ22-AQ24</f>
        <v>31690247.310000002</v>
      </c>
      <c r="BF182" s="14">
        <f>-AR22-AR24</f>
        <v>42473686.75</v>
      </c>
      <c r="BG182" s="14">
        <f>-AS22-AS24</f>
        <v>80870176.19000006</v>
      </c>
      <c r="BH182" s="14">
        <f>-AT22-AT24</f>
        <v>72634978.98999996</v>
      </c>
      <c r="BI182" s="14">
        <f>SUM(BE182:BH182)</f>
        <v>227669089.24</v>
      </c>
    </row>
    <row r="183" spans="56:61" ht="12.75">
      <c r="BD183" s="13">
        <v>2015</v>
      </c>
      <c r="BE183" s="14">
        <f>-AU22-AU24</f>
        <v>34056794.49</v>
      </c>
      <c r="BF183" s="14">
        <f>-AV22-AV24</f>
        <v>39995392.58</v>
      </c>
      <c r="BG183" s="14">
        <f>-AW22-AW24</f>
        <v>71881871.11999995</v>
      </c>
      <c r="BH183" s="14" t="e">
        <f>-AX22-AX24</f>
        <v>#REF!</v>
      </c>
      <c r="BI183" s="14" t="e">
        <f>SUM(BE183:BH183)</f>
        <v>#REF!</v>
      </c>
    </row>
    <row r="184" spans="56:61" ht="12.75">
      <c r="BD184" s="13">
        <v>2016</v>
      </c>
      <c r="BE184" s="14" t="e">
        <f>-AY22-AY24</f>
        <v>#REF!</v>
      </c>
      <c r="BF184" s="14"/>
      <c r="BG184" s="14"/>
      <c r="BH184" s="14"/>
      <c r="BI184" s="14" t="e">
        <f>SUM(BE184:BH184)</f>
        <v>#REF!</v>
      </c>
    </row>
    <row r="185" spans="56:61" ht="12.75">
      <c r="BD185" s="10" t="s">
        <v>279</v>
      </c>
      <c r="BE185" s="30" t="e">
        <f>BE184/BE183-1</f>
        <v>#REF!</v>
      </c>
      <c r="BF185" s="30">
        <f>BF184/BF183-1</f>
        <v>-1</v>
      </c>
      <c r="BG185" s="30">
        <f>BG184/BG183-1</f>
        <v>-1</v>
      </c>
      <c r="BH185" s="30" t="e">
        <f>BH184/BH183-1</f>
        <v>#REF!</v>
      </c>
      <c r="BI185" s="30" t="e">
        <f>BI184/BI183-1</f>
        <v>#REF!</v>
      </c>
    </row>
    <row r="186" spans="56:61" ht="12.75">
      <c r="BD186" s="10" t="s">
        <v>303</v>
      </c>
      <c r="BE186" s="15" t="e">
        <f>AVERAGE(BE172:BE184)</f>
        <v>#REF!</v>
      </c>
      <c r="BF186" s="15">
        <f>AVERAGE(BF172:BF184)</f>
        <v>44549252.22778013</v>
      </c>
      <c r="BG186" s="15">
        <f>AVERAGE(BG172:BG184)</f>
        <v>80263614.76592885</v>
      </c>
      <c r="BH186" s="15" t="e">
        <f>AVERAGE(BH172:BH184)</f>
        <v>#REF!</v>
      </c>
      <c r="BI186" s="15" t="e">
        <f>AVERAGE(BI172:BI184)</f>
        <v>#REF!</v>
      </c>
    </row>
    <row r="187" ht="12.75"/>
    <row r="188" spans="56:61" ht="38.25">
      <c r="BD188" s="33" t="s">
        <v>304</v>
      </c>
      <c r="BE188" s="34" t="s">
        <v>266</v>
      </c>
      <c r="BF188" s="34" t="s">
        <v>267</v>
      </c>
      <c r="BG188" s="34" t="s">
        <v>268</v>
      </c>
      <c r="BH188" s="34" t="s">
        <v>269</v>
      </c>
      <c r="BI188" s="34" t="s">
        <v>196</v>
      </c>
    </row>
    <row r="189" spans="56:61" ht="12.75">
      <c r="BD189" s="13">
        <v>2004</v>
      </c>
      <c r="BE189" s="14">
        <f>C15+C18</f>
        <v>21579507.929518234</v>
      </c>
      <c r="BF189" s="14">
        <f>D15+D18</f>
        <v>20400180.032083645</v>
      </c>
      <c r="BG189" s="14">
        <f>E15+E18</f>
        <v>15131551.872611295</v>
      </c>
      <c r="BH189" s="14">
        <f>F15+F18</f>
        <v>22027124.386128634</v>
      </c>
      <c r="BI189" s="14">
        <f aca="true" t="shared" si="31" ref="BI189:BI196">SUM(BE189:BH189)</f>
        <v>79138364.22034182</v>
      </c>
    </row>
    <row r="190" spans="56:61" ht="12.75">
      <c r="BD190" s="13">
        <v>2005</v>
      </c>
      <c r="BE190" s="42">
        <f>G15+G18-60000000</f>
        <v>20413424.18161136</v>
      </c>
      <c r="BF190" s="42">
        <f>H15+H18+60000000</f>
        <v>21063606.82263238</v>
      </c>
      <c r="BG190" s="14">
        <f>I15+I18</f>
        <v>29832798.735763684</v>
      </c>
      <c r="BH190" s="14">
        <f>J15+J18</f>
        <v>18185492.887272634</v>
      </c>
      <c r="BI190" s="14">
        <f t="shared" si="31"/>
        <v>89495322.62728006</v>
      </c>
    </row>
    <row r="191" spans="56:61" ht="12.75">
      <c r="BD191" s="13">
        <v>2006</v>
      </c>
      <c r="BE191" s="14">
        <f>K15+K18</f>
        <v>25455293.163370952</v>
      </c>
      <c r="BF191" s="14">
        <f>L15+L18</f>
        <v>25322400.647425007</v>
      </c>
      <c r="BG191" s="14">
        <f>M15+M18</f>
        <v>19735654.687280316</v>
      </c>
      <c r="BH191" s="14">
        <f>N15+N18</f>
        <v>26668718.352868967</v>
      </c>
      <c r="BI191" s="14">
        <f t="shared" si="31"/>
        <v>97182066.85094523</v>
      </c>
    </row>
    <row r="192" spans="56:61" ht="12.75">
      <c r="BD192" s="13">
        <v>2007</v>
      </c>
      <c r="BE192" s="14">
        <f>O15+O18</f>
        <v>32917416.414428696</v>
      </c>
      <c r="BF192" s="14">
        <f>P15+P18</f>
        <v>31595013.54423963</v>
      </c>
      <c r="BG192" s="14">
        <f>Q15+Q18</f>
        <v>29282299.44963763</v>
      </c>
      <c r="BH192" s="14">
        <f>R15+R18</f>
        <v>39122114.607646435</v>
      </c>
      <c r="BI192" s="14">
        <f t="shared" si="31"/>
        <v>132916844.01595238</v>
      </c>
    </row>
    <row r="193" spans="56:61" ht="12.75">
      <c r="BD193" s="13">
        <v>2008</v>
      </c>
      <c r="BE193" s="14">
        <f>S15+S18</f>
        <v>40385838.647373885</v>
      </c>
      <c r="BF193" s="14">
        <f>T15+T18</f>
        <v>39846044.300359175</v>
      </c>
      <c r="BG193" s="14">
        <f>U15+U18</f>
        <v>34950741.12586762</v>
      </c>
      <c r="BH193" s="14">
        <f>V15+V18</f>
        <v>38753725.529508024</v>
      </c>
      <c r="BI193" s="14">
        <f t="shared" si="31"/>
        <v>153936349.6031087</v>
      </c>
    </row>
    <row r="194" spans="56:61" ht="12.75">
      <c r="BD194" s="13">
        <v>2009</v>
      </c>
      <c r="BE194" s="14">
        <f>W15+W18</f>
        <v>40780098.9844439</v>
      </c>
      <c r="BF194" s="14">
        <f>X15+X18</f>
        <v>35114867.472166516</v>
      </c>
      <c r="BG194" s="14">
        <f>Y15+Y18</f>
        <v>35880562.81300728</v>
      </c>
      <c r="BH194" s="14">
        <f>Z15+Z18</f>
        <v>68662098.2820549</v>
      </c>
      <c r="BI194" s="14">
        <f t="shared" si="31"/>
        <v>180437627.55167258</v>
      </c>
    </row>
    <row r="195" spans="56:61" ht="12.75">
      <c r="BD195" s="13">
        <v>2010</v>
      </c>
      <c r="BE195" s="14">
        <f>AA15+AA18</f>
        <v>42313869.60617641</v>
      </c>
      <c r="BF195" s="14">
        <f>AB15+AB18</f>
        <v>41675492.26669053</v>
      </c>
      <c r="BG195" s="14">
        <f>AC15+AC18</f>
        <v>38357525.61962344</v>
      </c>
      <c r="BH195" s="14">
        <f>AD15+AD18</f>
        <v>49721959.16056522</v>
      </c>
      <c r="BI195" s="14">
        <f t="shared" si="31"/>
        <v>172068846.6530556</v>
      </c>
    </row>
    <row r="196" spans="56:61" ht="12.75">
      <c r="BD196" s="13">
        <v>2011</v>
      </c>
      <c r="BE196" s="14">
        <f>AE$15+AE18</f>
        <v>46159053.47000001</v>
      </c>
      <c r="BF196" s="14">
        <f>AF$15+AF18</f>
        <v>44217672.69999996</v>
      </c>
      <c r="BG196" s="14">
        <f>AG$15+AG18</f>
        <v>40311361.860000044</v>
      </c>
      <c r="BH196" s="14">
        <f>AH$15+AH18</f>
        <v>51444369.07700004</v>
      </c>
      <c r="BI196" s="14">
        <f t="shared" si="31"/>
        <v>182132457.10700005</v>
      </c>
    </row>
    <row r="197" spans="56:61" ht="12.75">
      <c r="BD197" s="13">
        <v>2012</v>
      </c>
      <c r="BE197" s="14">
        <f>AI$15+AI18</f>
        <v>41876622.77157001</v>
      </c>
      <c r="BF197" s="14">
        <f>AJ$15+AJ18</f>
        <v>50271820.86597771</v>
      </c>
      <c r="BG197" s="14">
        <f>AK$15+AK18</f>
        <v>44678690.72145226</v>
      </c>
      <c r="BH197" s="14">
        <f>AL$15+AL18</f>
        <v>50319243.02100006</v>
      </c>
      <c r="BI197" s="14">
        <f>SUM(BE197:BH197)</f>
        <v>187146377.38000005</v>
      </c>
    </row>
    <row r="198" spans="56:61" ht="12.75">
      <c r="BD198" s="13">
        <v>2013</v>
      </c>
      <c r="BE198" s="14">
        <f>AM15+AM18</f>
        <v>48308361.83000001</v>
      </c>
      <c r="BF198" s="14">
        <f>AN15+AN18</f>
        <v>50284945.33</v>
      </c>
      <c r="BG198" s="14">
        <f>AO15+AO18</f>
        <v>40121999.59000002</v>
      </c>
      <c r="BH198" s="14">
        <f>AP15+AP18</f>
        <v>48007083.4699999</v>
      </c>
      <c r="BI198" s="14">
        <f>SUM(BE198:BH198)</f>
        <v>186722390.21999994</v>
      </c>
    </row>
    <row r="199" spans="56:61" ht="12.75">
      <c r="BD199" s="13">
        <v>2014</v>
      </c>
      <c r="BE199" s="14">
        <f>AQ15+AQ18</f>
        <v>52180732.01</v>
      </c>
      <c r="BF199" s="14">
        <f>AR15+AR18</f>
        <v>49081040.61999999</v>
      </c>
      <c r="BG199" s="14">
        <f>AS15+AS18</f>
        <v>43598409.94</v>
      </c>
      <c r="BH199" s="14">
        <f>AT15+AT18</f>
        <v>53426059.77000004</v>
      </c>
      <c r="BI199" s="14">
        <f>SUM(BE199:BH199)</f>
        <v>198286242.34000003</v>
      </c>
    </row>
    <row r="200" spans="56:61" ht="12.75">
      <c r="BD200" s="13">
        <v>2015</v>
      </c>
      <c r="BE200" s="14">
        <f>AU15+AU18</f>
        <v>52487856.36999999</v>
      </c>
      <c r="BF200" s="14">
        <f>AV15+AV18</f>
        <v>50741272.30999999</v>
      </c>
      <c r="BG200" s="14">
        <f>AW15+AW18</f>
        <v>47498181.39000002</v>
      </c>
      <c r="BH200" s="14" t="e">
        <f>AX15+AX18</f>
        <v>#REF!</v>
      </c>
      <c r="BI200" s="14" t="e">
        <f>SUM(BE200:BH200)</f>
        <v>#REF!</v>
      </c>
    </row>
    <row r="201" spans="56:61" ht="12.75">
      <c r="BD201" s="13">
        <v>2016</v>
      </c>
      <c r="BE201" s="14" t="e">
        <f>AY15+AY18</f>
        <v>#REF!</v>
      </c>
      <c r="BF201" s="14"/>
      <c r="BG201" s="14"/>
      <c r="BH201" s="14"/>
      <c r="BI201" s="14" t="e">
        <f>SUM(BE201:BH201)</f>
        <v>#REF!</v>
      </c>
    </row>
    <row r="202" spans="56:61" ht="12.75">
      <c r="BD202" s="10" t="s">
        <v>279</v>
      </c>
      <c r="BE202" s="30" t="e">
        <f>BE201/BE200-1</f>
        <v>#REF!</v>
      </c>
      <c r="BF202" s="30">
        <f>BF201/BF200-1</f>
        <v>-1</v>
      </c>
      <c r="BG202" s="30">
        <f>BG201/BG200-1</f>
        <v>-1</v>
      </c>
      <c r="BH202" s="30" t="e">
        <f>BH201/BH200-1</f>
        <v>#REF!</v>
      </c>
      <c r="BI202" s="30" t="e">
        <f>BI201/BI200-1</f>
        <v>#REF!</v>
      </c>
    </row>
    <row r="203" ht="12.75"/>
    <row r="204" spans="56:61" ht="12.75">
      <c r="BD204" s="33" t="s">
        <v>5</v>
      </c>
      <c r="BE204" s="34" t="s">
        <v>266</v>
      </c>
      <c r="BF204" s="34" t="s">
        <v>267</v>
      </c>
      <c r="BG204" s="34" t="s">
        <v>268</v>
      </c>
      <c r="BH204" s="34" t="s">
        <v>269</v>
      </c>
      <c r="BI204" s="34" t="s">
        <v>196</v>
      </c>
    </row>
    <row r="205" spans="56:61" ht="12.75">
      <c r="BD205" s="13">
        <v>2004</v>
      </c>
      <c r="BE205" s="14">
        <f>C4</f>
        <v>88570052.55390948</v>
      </c>
      <c r="BF205" s="14">
        <f>D4</f>
        <v>94396114.71693529</v>
      </c>
      <c r="BG205" s="14">
        <f>E4</f>
        <v>98222989.57984485</v>
      </c>
      <c r="BH205" s="14">
        <f>F4</f>
        <v>109619127.62133628</v>
      </c>
      <c r="BI205" s="14">
        <f aca="true" t="shared" si="32" ref="BI205:BI212">SUM(BE205:BH205)</f>
        <v>390808284.4720259</v>
      </c>
    </row>
    <row r="206" spans="56:61" ht="12.75">
      <c r="BD206" s="13">
        <v>2005</v>
      </c>
      <c r="BE206" s="14">
        <f>G4</f>
        <v>98875109.39053853</v>
      </c>
      <c r="BF206" s="14">
        <f>H4</f>
        <v>100137820.24337557</v>
      </c>
      <c r="BG206" s="14">
        <f>I4</f>
        <v>137381682.8902125</v>
      </c>
      <c r="BH206" s="14">
        <f>J4</f>
        <v>110255777.67949592</v>
      </c>
      <c r="BI206" s="14">
        <f t="shared" si="32"/>
        <v>446650390.2036226</v>
      </c>
    </row>
    <row r="207" spans="56:61" ht="12.75">
      <c r="BD207" s="13">
        <v>2006</v>
      </c>
      <c r="BE207" s="14">
        <f>K4</f>
        <v>126153217.80706353</v>
      </c>
      <c r="BF207" s="14">
        <f>L4</f>
        <v>135323369.53076062</v>
      </c>
      <c r="BG207" s="14">
        <f>M4</f>
        <v>144748952.53857082</v>
      </c>
      <c r="BH207" s="14">
        <f>N4</f>
        <v>135909088.90302038</v>
      </c>
      <c r="BI207" s="14">
        <f t="shared" si="32"/>
        <v>542134628.7794154</v>
      </c>
    </row>
    <row r="208" spans="56:61" ht="12.75">
      <c r="BD208" s="13">
        <v>2007</v>
      </c>
      <c r="BE208" s="14">
        <f>O4</f>
        <v>155641344.13994095</v>
      </c>
      <c r="BF208" s="14">
        <f>P4</f>
        <v>171332938.09709457</v>
      </c>
      <c r="BG208" s="14">
        <f>Q4</f>
        <v>184432523.9400253</v>
      </c>
      <c r="BH208" s="14">
        <f>R4</f>
        <v>164552459.0773716</v>
      </c>
      <c r="BI208" s="14">
        <f t="shared" si="32"/>
        <v>675959265.2544324</v>
      </c>
    </row>
    <row r="209" spans="56:61" ht="12.75">
      <c r="BD209" s="13">
        <v>2008</v>
      </c>
      <c r="BE209" s="14">
        <f>S4</f>
        <v>190801328.78005445</v>
      </c>
      <c r="BF209" s="14">
        <f>T4</f>
        <v>204040746.16018823</v>
      </c>
      <c r="BG209" s="14">
        <f>U4</f>
        <v>209803937.5672669</v>
      </c>
      <c r="BH209" s="14">
        <f>V4</f>
        <v>189586792.14142358</v>
      </c>
      <c r="BI209" s="14">
        <f t="shared" si="32"/>
        <v>794232804.6489332</v>
      </c>
    </row>
    <row r="210" spans="56:61" ht="12.75">
      <c r="BD210" s="13">
        <v>2009</v>
      </c>
      <c r="BE210" s="14">
        <f>W4</f>
        <v>175575386.28264287</v>
      </c>
      <c r="BF210" s="14">
        <f>X4</f>
        <v>178070618.74656478</v>
      </c>
      <c r="BG210" s="14">
        <f>Y4</f>
        <v>178281999.67916352</v>
      </c>
      <c r="BH210" s="14">
        <f>Z4</f>
        <v>159870229.0714916</v>
      </c>
      <c r="BI210" s="14">
        <f t="shared" si="32"/>
        <v>691798233.7798628</v>
      </c>
    </row>
    <row r="211" spans="56:61" ht="12.75">
      <c r="BD211" s="13">
        <v>2010</v>
      </c>
      <c r="BE211" s="14">
        <f>AA4</f>
        <v>147832762.5139008</v>
      </c>
      <c r="BF211" s="14">
        <f>AB4</f>
        <v>175101942.01296133</v>
      </c>
      <c r="BG211" s="14">
        <f>AC4</f>
        <v>157094702.54240537</v>
      </c>
      <c r="BH211" s="14">
        <f>AD4</f>
        <v>170205527.3139212</v>
      </c>
      <c r="BI211" s="14">
        <f t="shared" si="32"/>
        <v>650234934.3831887</v>
      </c>
    </row>
    <row r="212" spans="56:61" ht="12.75">
      <c r="BD212" s="13">
        <v>2011</v>
      </c>
      <c r="BE212" s="14">
        <f>AE$4</f>
        <v>157513847.32</v>
      </c>
      <c r="BF212" s="14">
        <f>AF$4</f>
        <v>187996392.51000002</v>
      </c>
      <c r="BG212" s="14">
        <f>AG$4</f>
        <v>167517711.49999997</v>
      </c>
      <c r="BH212" s="14">
        <f>AH$4</f>
        <v>182487041.63000003</v>
      </c>
      <c r="BI212" s="14">
        <f t="shared" si="32"/>
        <v>695514992.96</v>
      </c>
    </row>
    <row r="213" spans="56:61" ht="12.75">
      <c r="BD213" s="13">
        <v>2012</v>
      </c>
      <c r="BE213" s="14">
        <f>AI$4</f>
        <v>165799909.98</v>
      </c>
      <c r="BF213" s="14">
        <f>AJ$4</f>
        <v>200353527.49999997</v>
      </c>
      <c r="BG213" s="14">
        <f>AK$4</f>
        <v>175866678.24</v>
      </c>
      <c r="BH213" s="14">
        <f>AL$4</f>
        <v>191739966.50000003</v>
      </c>
      <c r="BI213" s="14">
        <f>SUM(BE213:BH213)</f>
        <v>733760082.22</v>
      </c>
    </row>
    <row r="214" spans="56:61" ht="12.75">
      <c r="BD214" s="13">
        <v>2013</v>
      </c>
      <c r="BE214" s="14">
        <f>AM4</f>
        <v>179918514.35999998</v>
      </c>
      <c r="BF214" s="14">
        <f>AN4</f>
        <v>217862188.82999998</v>
      </c>
      <c r="BG214" s="14">
        <f>AO4</f>
        <v>185553318.79</v>
      </c>
      <c r="BH214" s="14">
        <f>AP4</f>
        <v>210905157.17000002</v>
      </c>
      <c r="BI214" s="14">
        <f>SUM(BE214:BH214)</f>
        <v>794239179.1499999</v>
      </c>
    </row>
    <row r="215" spans="56:61" ht="12.75">
      <c r="BD215" s="13">
        <v>2014</v>
      </c>
      <c r="BE215" s="14">
        <f>AQ4</f>
        <v>214050341.78000003</v>
      </c>
      <c r="BF215" s="14">
        <f>AR4</f>
        <v>216932620.72999996</v>
      </c>
      <c r="BG215" s="14">
        <f>AS4</f>
        <v>202362259.07</v>
      </c>
      <c r="BH215" s="14">
        <f>AT4</f>
        <v>227820874.8399999</v>
      </c>
      <c r="BI215" s="14">
        <f>SUM(BE215:BH215)</f>
        <v>861166096.4199998</v>
      </c>
    </row>
    <row r="216" spans="56:61" ht="12.75">
      <c r="BD216" s="13">
        <v>2015</v>
      </c>
      <c r="BE216" s="14">
        <f>AU4</f>
        <v>224126356.51999998</v>
      </c>
      <c r="BF216" s="14">
        <f>AV4</f>
        <v>229960831.64999998</v>
      </c>
      <c r="BG216" s="14">
        <f>AW4</f>
        <v>227326170.71000007</v>
      </c>
      <c r="BH216" s="14" t="e">
        <f>AX4</f>
        <v>#REF!</v>
      </c>
      <c r="BI216" s="14" t="e">
        <f>SUM(BE216:BH216)</f>
        <v>#REF!</v>
      </c>
    </row>
    <row r="217" spans="56:61" ht="12.75">
      <c r="BD217" s="13">
        <v>2016</v>
      </c>
      <c r="BE217" s="14" t="e">
        <f>AY4</f>
        <v>#REF!</v>
      </c>
      <c r="BF217" s="14"/>
      <c r="BG217" s="14"/>
      <c r="BH217" s="14"/>
      <c r="BI217" s="14" t="e">
        <f>SUM(BE217:BH217)</f>
        <v>#REF!</v>
      </c>
    </row>
    <row r="218" spans="56:61" ht="12.75">
      <c r="BD218" s="10" t="s">
        <v>279</v>
      </c>
      <c r="BE218" s="30" t="e">
        <f>BE217/BE216-1</f>
        <v>#REF!</v>
      </c>
      <c r="BF218" s="30">
        <f>BF217/BF216-1</f>
        <v>-1</v>
      </c>
      <c r="BG218" s="30">
        <f>BG217/BG216-1</f>
        <v>-1</v>
      </c>
      <c r="BH218" s="30" t="e">
        <f>BH217/BH216-1</f>
        <v>#REF!</v>
      </c>
      <c r="BI218" s="30" t="e">
        <f>BI217/BI216-1</f>
        <v>#REF!</v>
      </c>
    </row>
    <row r="220" spans="56:61" ht="25.5">
      <c r="BD220" s="33" t="s">
        <v>305</v>
      </c>
      <c r="BE220" s="34" t="s">
        <v>266</v>
      </c>
      <c r="BF220" s="34" t="s">
        <v>267</v>
      </c>
      <c r="BG220" s="34" t="s">
        <v>268</v>
      </c>
      <c r="BH220" s="34" t="s">
        <v>269</v>
      </c>
      <c r="BI220" s="34" t="s">
        <v>196</v>
      </c>
    </row>
    <row r="221" spans="56:61" ht="12.75">
      <c r="BD221" s="13">
        <v>2004</v>
      </c>
      <c r="BE221" s="14">
        <f>SUM(C$10:C$12)</f>
        <v>57659349.991691485</v>
      </c>
      <c r="BF221" s="14">
        <f>SUM(D$10:D$12)</f>
        <v>84802033.21744022</v>
      </c>
      <c r="BG221" s="14">
        <f>SUM(E$10:E$12)</f>
        <v>48362706.34131376</v>
      </c>
      <c r="BH221" s="14">
        <f>SUM(F$10:F$12)</f>
        <v>60357344.576457515</v>
      </c>
      <c r="BI221" s="14">
        <f aca="true" t="shared" si="33" ref="BI221:BI229">SUM(BE221:BH221)</f>
        <v>251181434.126903</v>
      </c>
    </row>
    <row r="222" spans="56:61" ht="12.75">
      <c r="BD222" s="13">
        <v>2005</v>
      </c>
      <c r="BE222" s="14">
        <f>SUM(G$10:G12)</f>
        <v>74563738.25176075</v>
      </c>
      <c r="BF222" s="14">
        <f>SUM(H$10:H12)</f>
        <v>82953230.53251186</v>
      </c>
      <c r="BG222" s="14">
        <f>SUM(I$10:I12)</f>
        <v>61744978.51929495</v>
      </c>
      <c r="BH222" s="14">
        <f>SUM(J$10:J12)</f>
        <v>70885971.91083045</v>
      </c>
      <c r="BI222" s="14">
        <f t="shared" si="33"/>
        <v>290147919.214398</v>
      </c>
    </row>
    <row r="223" spans="56:61" ht="12.75">
      <c r="BD223" s="13">
        <v>2006</v>
      </c>
      <c r="BE223" s="14">
        <f>SUM(K$10:K$12)</f>
        <v>79473535.79052319</v>
      </c>
      <c r="BF223" s="14">
        <f>SUM(L$10:L$12)</f>
        <v>100200749.33723621</v>
      </c>
      <c r="BG223" s="14">
        <f>SUM(M$10:M$12)</f>
        <v>57065899.35449234</v>
      </c>
      <c r="BH223" s="14">
        <f>SUM(N$10:N$12)</f>
        <v>73272499.47528532</v>
      </c>
      <c r="BI223" s="14">
        <f t="shared" si="33"/>
        <v>310012683.95753706</v>
      </c>
    </row>
    <row r="224" spans="56:61" ht="12.75">
      <c r="BD224" s="13">
        <v>2007</v>
      </c>
      <c r="BE224" s="14">
        <f>SUM(O$10:O$12)</f>
        <v>83935137.19785768</v>
      </c>
      <c r="BF224" s="14">
        <f>SUM(P$10:P$12)</f>
        <v>114850592.89622028</v>
      </c>
      <c r="BG224" s="14">
        <f>SUM(Q$10:Q$12)</f>
        <v>64321155.73159665</v>
      </c>
      <c r="BH224" s="14">
        <f>SUM(R$10:R$12)</f>
        <v>83736649.3519359</v>
      </c>
      <c r="BI224" s="14">
        <f t="shared" si="33"/>
        <v>346843535.1776105</v>
      </c>
    </row>
    <row r="225" spans="56:61" ht="12.75">
      <c r="BD225" s="13">
        <v>2008</v>
      </c>
      <c r="BE225" s="14">
        <f>SUM(S$10:S$12)</f>
        <v>96085188.08303401</v>
      </c>
      <c r="BF225" s="14">
        <f>SUM(T$10:T$12)</f>
        <v>126175295.96014473</v>
      </c>
      <c r="BG225" s="14">
        <f>SUM(U$10:U$12)</f>
        <v>74269286.23470911</v>
      </c>
      <c r="BH225" s="14">
        <f>SUM(V$10:V$12)</f>
        <v>84249679.42236653</v>
      </c>
      <c r="BI225" s="14">
        <f t="shared" si="33"/>
        <v>380779449.7002543</v>
      </c>
    </row>
    <row r="226" spans="56:61" ht="12.75">
      <c r="BD226" s="13">
        <v>2009</v>
      </c>
      <c r="BE226" s="14">
        <f>SUM(W$10:W$12)</f>
        <v>86891246.01958254</v>
      </c>
      <c r="BF226" s="14">
        <f>SUM(X$10:X$12)</f>
        <v>110512970.11938697</v>
      </c>
      <c r="BG226" s="14">
        <f>SUM(Y$10:Y$12)</f>
        <v>64062117.122569814</v>
      </c>
      <c r="BH226" s="14">
        <f>SUM(Z$10:Z$12)</f>
        <v>74539788.28243828</v>
      </c>
      <c r="BI226" s="14">
        <f t="shared" si="33"/>
        <v>336006121.5439776</v>
      </c>
    </row>
    <row r="227" spans="56:61" ht="12.75">
      <c r="BD227" s="13">
        <v>2010</v>
      </c>
      <c r="BE227" s="14">
        <f>SUM(AA$10:AA$12)</f>
        <v>87163905.42226426</v>
      </c>
      <c r="BF227" s="14">
        <f>SUM(AB$10:AB$12)</f>
        <v>106859690.47269057</v>
      </c>
      <c r="BG227" s="14">
        <f>SUM(AC$10:AC$12)</f>
        <v>67339499.41393022</v>
      </c>
      <c r="BH227" s="14">
        <f>SUM(AD$10:AD$12)</f>
        <v>86400702.89455847</v>
      </c>
      <c r="BI227" s="14">
        <f t="shared" si="33"/>
        <v>347763798.2034435</v>
      </c>
    </row>
    <row r="228" spans="56:61" ht="12.75">
      <c r="BD228" s="13">
        <v>2011</v>
      </c>
      <c r="BE228" s="14">
        <f>SUM(AE$10:AE$12)</f>
        <v>90030841.74100001</v>
      </c>
      <c r="BF228" s="14">
        <f>SUM(AF$10:AF$12)</f>
        <v>110987573.04899998</v>
      </c>
      <c r="BG228" s="14">
        <f>SUM(AG$10:AG$12)</f>
        <v>67923815.44000004</v>
      </c>
      <c r="BH228" s="14">
        <f>SUM(AH$10:AH$12)</f>
        <v>80122914.45999998</v>
      </c>
      <c r="BI228" s="14">
        <f t="shared" si="33"/>
        <v>349065144.69</v>
      </c>
    </row>
    <row r="229" spans="56:61" ht="12.75">
      <c r="BD229" s="13">
        <v>2012</v>
      </c>
      <c r="BE229" s="14">
        <f>SUM(AI$10:AI$12)</f>
        <v>98661028.64</v>
      </c>
      <c r="BF229" s="14">
        <f>SUM(AJ$10:AJ$12)</f>
        <v>107283493.52999997</v>
      </c>
      <c r="BG229" s="14">
        <f>SUM(AK$10:AK$12)</f>
        <v>66314393.12000002</v>
      </c>
      <c r="BH229" s="14">
        <f>SUM(AL$10:AL$12)</f>
        <v>73958789.17</v>
      </c>
      <c r="BI229" s="14">
        <f t="shared" si="33"/>
        <v>346217704.46</v>
      </c>
    </row>
    <row r="230" spans="56:61" ht="12.75">
      <c r="BD230" s="13">
        <v>2013</v>
      </c>
      <c r="BE230" s="14">
        <f>SUM(AM$10:AM$12)</f>
        <v>115097151.69999999</v>
      </c>
      <c r="BF230" s="14">
        <f>SUM(AN$10:AN$12)</f>
        <v>109936001.16000001</v>
      </c>
      <c r="BG230" s="14">
        <f>SUM(AO$10:AO$12)</f>
        <v>64687912.749999985</v>
      </c>
      <c r="BH230" s="14">
        <f>SUM(AP$10:AP$12)</f>
        <v>77375412.47000006</v>
      </c>
      <c r="BI230" s="14">
        <f>SUM(BE230:BH230)</f>
        <v>367096478.08000004</v>
      </c>
    </row>
    <row r="231" spans="56:61" ht="12.75">
      <c r="BD231" s="13">
        <v>2014</v>
      </c>
      <c r="BE231" s="14">
        <f>SUM(AQ$10:AQ$12)</f>
        <v>114367500.02</v>
      </c>
      <c r="BF231" s="14">
        <f>SUM(AR$10:AR$12)</f>
        <v>113574713.97</v>
      </c>
      <c r="BG231" s="14">
        <f>SUM(AS$10:AS$12)</f>
        <v>63227617.699999996</v>
      </c>
      <c r="BH231" s="14">
        <f>SUM(AT$10:AT$12)</f>
        <v>73851821.84000005</v>
      </c>
      <c r="BI231" s="14">
        <f>SUM(BE231:BH231)</f>
        <v>365021653.53000003</v>
      </c>
    </row>
    <row r="232" spans="56:61" ht="12.75">
      <c r="BD232" s="13">
        <v>2015</v>
      </c>
      <c r="BE232" s="14">
        <f>SUM(AU$10:AU$12)</f>
        <v>133608362.51</v>
      </c>
      <c r="BF232" s="14">
        <f>SUM(AV$10:AV$12)</f>
        <v>120795957.71999998</v>
      </c>
      <c r="BG232" s="14">
        <f>SUM(AW$10:AW$12)</f>
        <v>64977999.65</v>
      </c>
      <c r="BH232" s="14" t="e">
        <f>SUM(AX$10:AX$12)</f>
        <v>#REF!</v>
      </c>
      <c r="BI232" s="14" t="e">
        <f>SUM(BE232:BH232)</f>
        <v>#REF!</v>
      </c>
    </row>
    <row r="233" spans="56:61" ht="12.75">
      <c r="BD233" s="13">
        <v>2016</v>
      </c>
      <c r="BE233" s="14" t="e">
        <f>SUM(AY$10:AY$12)</f>
        <v>#REF!</v>
      </c>
      <c r="BF233" s="14"/>
      <c r="BG233" s="14"/>
      <c r="BH233" s="14"/>
      <c r="BI233" s="14" t="e">
        <f>SUM(BE233:BH233)</f>
        <v>#REF!</v>
      </c>
    </row>
    <row r="234" spans="56:61" ht="12.75">
      <c r="BD234" s="10" t="s">
        <v>279</v>
      </c>
      <c r="BE234" s="30" t="e">
        <f>BE233/BE232-1</f>
        <v>#REF!</v>
      </c>
      <c r="BF234" s="30">
        <f>BF233/BF232-1</f>
        <v>-1</v>
      </c>
      <c r="BG234" s="30">
        <f>BG233/BG232-1</f>
        <v>-1</v>
      </c>
      <c r="BH234" s="30" t="e">
        <f>BH233/BH232-1</f>
        <v>#REF!</v>
      </c>
      <c r="BI234" s="30" t="e">
        <f>BI233/BI232-1</f>
        <v>#REF!</v>
      </c>
    </row>
    <row r="236" spans="56:61" ht="25.5">
      <c r="BD236" s="33" t="s">
        <v>306</v>
      </c>
      <c r="BE236" s="34" t="s">
        <v>266</v>
      </c>
      <c r="BF236" s="34" t="s">
        <v>267</v>
      </c>
      <c r="BG236" s="34" t="s">
        <v>268</v>
      </c>
      <c r="BH236" s="34" t="s">
        <v>269</v>
      </c>
      <c r="BI236" s="34" t="s">
        <v>196</v>
      </c>
    </row>
    <row r="237" spans="56:61" ht="12.75">
      <c r="BD237" s="13">
        <v>2004</v>
      </c>
      <c r="BE237" s="14">
        <f>C8+C13</f>
        <v>25048486.724272367</v>
      </c>
      <c r="BF237" s="14">
        <f>D8+D13</f>
        <v>26809298.58243964</v>
      </c>
      <c r="BG237" s="14">
        <f>E8+E13</f>
        <v>21478556.07544131</v>
      </c>
      <c r="BH237" s="14">
        <f>F8+F13</f>
        <v>27324471.648153596</v>
      </c>
      <c r="BI237" s="14">
        <f aca="true" t="shared" si="34" ref="BI237:BI244">SUM(BE237:BH237)</f>
        <v>100660813.0303069</v>
      </c>
    </row>
    <row r="238" spans="56:61" ht="12.75">
      <c r="BD238" s="13">
        <v>2005</v>
      </c>
      <c r="BE238" s="14">
        <f>G8+G13</f>
        <v>27349874.864826865</v>
      </c>
      <c r="BF238" s="14">
        <f>H8+H13</f>
        <v>19939543.589738443</v>
      </c>
      <c r="BG238" s="14">
        <f>I8+I13</f>
        <v>28313268.01725604</v>
      </c>
      <c r="BH238" s="14">
        <f>J8+J13</f>
        <v>37459578.9628418</v>
      </c>
      <c r="BI238" s="14">
        <f t="shared" si="34"/>
        <v>113062265.43466315</v>
      </c>
    </row>
    <row r="239" spans="56:61" ht="12.75">
      <c r="BD239" s="13">
        <v>2006</v>
      </c>
      <c r="BE239" s="14">
        <f>K8+K13</f>
        <v>27494911.603223708</v>
      </c>
      <c r="BF239" s="14">
        <f>L8+L13</f>
        <v>31744562.327214867</v>
      </c>
      <c r="BG239" s="14">
        <f>M8+M13</f>
        <v>28518263.62756126</v>
      </c>
      <c r="BH239" s="14">
        <f>N8+N13</f>
        <v>36426607.011491284</v>
      </c>
      <c r="BI239" s="14">
        <f t="shared" si="34"/>
        <v>124184344.56949112</v>
      </c>
    </row>
    <row r="240" spans="56:61" ht="12.75">
      <c r="BD240" s="13">
        <v>2007</v>
      </c>
      <c r="BE240" s="14">
        <f>O8+O13</f>
        <v>33359656.671736993</v>
      </c>
      <c r="BF240" s="14">
        <f>P8+P13</f>
        <v>35152578.35695935</v>
      </c>
      <c r="BG240" s="14">
        <f>Q8+Q13</f>
        <v>29112773.238275383</v>
      </c>
      <c r="BH240" s="14">
        <f>R8+R13</f>
        <v>38447935.76495854</v>
      </c>
      <c r="BI240" s="14">
        <f t="shared" si="34"/>
        <v>136072944.03193027</v>
      </c>
    </row>
    <row r="241" spans="56:61" ht="12.75">
      <c r="BD241" s="13">
        <v>2008</v>
      </c>
      <c r="BE241" s="14">
        <f>S8+S13</f>
        <v>38283876.154563926</v>
      </c>
      <c r="BF241" s="14">
        <f>T8+T13</f>
        <v>40441441.88513799</v>
      </c>
      <c r="BG241" s="14">
        <f>U8+U13</f>
        <v>39770130.1181087</v>
      </c>
      <c r="BH241" s="14">
        <f>V8+V13</f>
        <v>44368821.0693697</v>
      </c>
      <c r="BI241" s="14">
        <f t="shared" si="34"/>
        <v>162864269.2271803</v>
      </c>
    </row>
    <row r="242" spans="56:61" ht="12.75">
      <c r="BD242" s="13">
        <v>2009</v>
      </c>
      <c r="BE242" s="14">
        <f>W8+W13</f>
        <v>40787064.72268736</v>
      </c>
      <c r="BF242" s="14">
        <f>X8+X13</f>
        <v>39296196.71643871</v>
      </c>
      <c r="BG242" s="14">
        <f>Y8+Y13</f>
        <v>37760397.19150295</v>
      </c>
      <c r="BH242" s="14">
        <f>Z8+Z13</f>
        <v>43320131.57126788</v>
      </c>
      <c r="BI242" s="14">
        <f t="shared" si="34"/>
        <v>161163790.2018969</v>
      </c>
    </row>
    <row r="243" spans="56:61" ht="12.75">
      <c r="BD243" s="13">
        <v>2010</v>
      </c>
      <c r="BE243" s="14">
        <f>AA8+AA13</f>
        <v>39958485.21928087</v>
      </c>
      <c r="BF243" s="14">
        <f>AB8+AB13</f>
        <v>38497388.14362225</v>
      </c>
      <c r="BG243" s="14">
        <f>AC8+AC13</f>
        <v>37600196.91945857</v>
      </c>
      <c r="BH243" s="14">
        <f>AD8+AD13</f>
        <v>45097554.1408357</v>
      </c>
      <c r="BI243" s="14">
        <f t="shared" si="34"/>
        <v>161153624.4231974</v>
      </c>
    </row>
    <row r="244" spans="56:61" ht="12.75">
      <c r="BD244" s="13">
        <v>2011</v>
      </c>
      <c r="BE244" s="14">
        <f>AE$8+AE13</f>
        <v>40019462.91000001</v>
      </c>
      <c r="BF244" s="14">
        <f>AF$8+AF13</f>
        <v>38818773.36999999</v>
      </c>
      <c r="BG244" s="14">
        <f>AG$8+AG13</f>
        <v>41108560.230000034</v>
      </c>
      <c r="BH244" s="14">
        <f>AH$8+AH13</f>
        <v>47393455.33599995</v>
      </c>
      <c r="BI244" s="14">
        <f t="shared" si="34"/>
        <v>167340251.846</v>
      </c>
    </row>
    <row r="245" spans="56:61" ht="12.75">
      <c r="BD245" s="13">
        <v>2012</v>
      </c>
      <c r="BE245" s="14">
        <f>AI$8+AI13</f>
        <v>49212826.64</v>
      </c>
      <c r="BF245" s="14">
        <f>AJ$8+AJ13</f>
        <v>41853726.49</v>
      </c>
      <c r="BG245" s="14">
        <f>AK$8+AK13</f>
        <v>44415526.83999999</v>
      </c>
      <c r="BH245" s="14">
        <f>AL$8+AL13</f>
        <v>47512483.640000075</v>
      </c>
      <c r="BI245" s="14">
        <f>SUM(BE245:BH245)</f>
        <v>182994563.61000004</v>
      </c>
    </row>
    <row r="246" spans="56:61" ht="12.75">
      <c r="BD246" s="13">
        <v>2013</v>
      </c>
      <c r="BE246" s="14">
        <f>AM8+AM13</f>
        <v>43574432.09</v>
      </c>
      <c r="BF246" s="14">
        <f>AN8+AN13</f>
        <v>43479793.679999985</v>
      </c>
      <c r="BG246" s="14">
        <f>AO8+AO13</f>
        <v>37293156.52000005</v>
      </c>
      <c r="BH246" s="14">
        <f>AP8+AP13</f>
        <v>46619702.519999966</v>
      </c>
      <c r="BI246" s="14">
        <f>SUM(BE246:BH246)</f>
        <v>170967084.81</v>
      </c>
    </row>
    <row r="247" spans="56:61" ht="12.75">
      <c r="BD247" s="13">
        <v>2014</v>
      </c>
      <c r="BE247" s="14">
        <f>AQ8+AQ13</f>
        <v>44918824.46</v>
      </c>
      <c r="BF247" s="14">
        <f>AR8+AR13</f>
        <v>45570080.53</v>
      </c>
      <c r="BG247" s="14">
        <f>AS8+AS13</f>
        <v>39249288.14999994</v>
      </c>
      <c r="BH247" s="14">
        <f>AT8+AT13</f>
        <v>50293446.49000005</v>
      </c>
      <c r="BI247" s="14">
        <f>SUM(BE247:BH247)</f>
        <v>180031639.63</v>
      </c>
    </row>
    <row r="248" spans="56:61" ht="12.75">
      <c r="BD248" s="13">
        <v>2015</v>
      </c>
      <c r="BE248" s="14">
        <f>AU8+AU13</f>
        <v>48302296.53</v>
      </c>
      <c r="BF248" s="14">
        <f>AV8+AV13</f>
        <v>47976571.76</v>
      </c>
      <c r="BG248" s="14">
        <f>AW8+AW13</f>
        <v>41082042.080000006</v>
      </c>
      <c r="BH248" s="14" t="e">
        <f>AX8+AX13</f>
        <v>#REF!</v>
      </c>
      <c r="BI248" s="14" t="e">
        <f>SUM(BE248:BH248)</f>
        <v>#REF!</v>
      </c>
    </row>
    <row r="249" spans="56:61" ht="12.75">
      <c r="BD249" s="13">
        <v>2016</v>
      </c>
      <c r="BE249" s="14" t="e">
        <f>AY8+AY13</f>
        <v>#REF!</v>
      </c>
      <c r="BF249" s="14"/>
      <c r="BG249" s="14"/>
      <c r="BH249" s="14"/>
      <c r="BI249" s="14" t="e">
        <f>SUM(BE249:BH249)</f>
        <v>#REF!</v>
      </c>
    </row>
    <row r="250" spans="56:61" ht="12.75">
      <c r="BD250" s="10" t="s">
        <v>279</v>
      </c>
      <c r="BE250" s="30" t="e">
        <f>BE249/BE248-1</f>
        <v>#REF!</v>
      </c>
      <c r="BF250" s="30">
        <f>BF249/BF248-1</f>
        <v>-1</v>
      </c>
      <c r="BG250" s="30">
        <f>BG249/BG248-1</f>
        <v>-1</v>
      </c>
      <c r="BH250" s="30" t="e">
        <f>BH249/BH248-1</f>
        <v>#REF!</v>
      </c>
      <c r="BI250" s="30" t="e">
        <f>BI249/BI248-1</f>
        <v>#REF!</v>
      </c>
    </row>
    <row r="252" spans="56:61" ht="38.25">
      <c r="BD252" s="33" t="s">
        <v>307</v>
      </c>
      <c r="BE252" s="34" t="s">
        <v>266</v>
      </c>
      <c r="BF252" s="34" t="s">
        <v>267</v>
      </c>
      <c r="BG252" s="34" t="s">
        <v>268</v>
      </c>
      <c r="BH252" s="34" t="s">
        <v>269</v>
      </c>
      <c r="BI252" s="34" t="s">
        <v>196</v>
      </c>
    </row>
    <row r="253" spans="56:61" ht="12.75">
      <c r="BD253" s="13">
        <v>2004</v>
      </c>
      <c r="BE253" s="14">
        <f>C21+C23</f>
        <v>6628445.2468906995</v>
      </c>
      <c r="BF253" s="14">
        <f>D21+D23</f>
        <v>18452591.830813084</v>
      </c>
      <c r="BG253" s="14">
        <f>E21+E23</f>
        <v>32528952.819781937</v>
      </c>
      <c r="BH253" s="14">
        <f>F21+F23</f>
        <v>16528151.312106151</v>
      </c>
      <c r="BI253" s="14">
        <f aca="true" t="shared" si="35" ref="BI253:BI260">SUM(BE253:BH253)</f>
        <v>74138141.20959187</v>
      </c>
    </row>
    <row r="254" spans="56:61" ht="12.75">
      <c r="BD254" s="13">
        <v>2005</v>
      </c>
      <c r="BE254" s="14">
        <f>G21+G23</f>
        <v>5968768.371403372</v>
      </c>
      <c r="BF254" s="14">
        <f>H21+H23</f>
        <v>15620190.456073526</v>
      </c>
      <c r="BG254" s="14">
        <f>I21+I23</f>
        <v>32939004.677054442</v>
      </c>
      <c r="BH254" s="14">
        <f>J21+J23</f>
        <v>30070268.329221677</v>
      </c>
      <c r="BI254" s="14">
        <f t="shared" si="35"/>
        <v>84598231.83375302</v>
      </c>
    </row>
    <row r="255" spans="56:61" ht="12.75">
      <c r="BD255" s="13">
        <v>2006</v>
      </c>
      <c r="BE255" s="14">
        <f>K21+K23</f>
        <v>24479787.976301566</v>
      </c>
      <c r="BF255" s="14">
        <f>L21+L23</f>
        <v>87784018.36245576</v>
      </c>
      <c r="BG255" s="14">
        <f>M21+M23</f>
        <v>27260440.748149753</v>
      </c>
      <c r="BH255" s="14">
        <f>N21+N23</f>
        <v>33940546.2892897</v>
      </c>
      <c r="BI255" s="14">
        <f t="shared" si="35"/>
        <v>173464793.3761968</v>
      </c>
    </row>
    <row r="256" spans="56:61" ht="12.75">
      <c r="BD256" s="13">
        <v>2007</v>
      </c>
      <c r="BE256" s="14">
        <f>O21+O23</f>
        <v>31233327.937059805</v>
      </c>
      <c r="BF256" s="14">
        <f>P21+P23</f>
        <v>36271657.85793719</v>
      </c>
      <c r="BG256" s="14">
        <f>Q21+Q23</f>
        <v>31310764.45809312</v>
      </c>
      <c r="BH256" s="14">
        <f>R21+R23</f>
        <v>18883468.60404177</v>
      </c>
      <c r="BI256" s="14">
        <f t="shared" si="35"/>
        <v>117699218.85713188</v>
      </c>
    </row>
    <row r="257" spans="56:61" ht="12.75">
      <c r="BD257" s="13">
        <v>2008</v>
      </c>
      <c r="BE257" s="14">
        <f>S21+S23</f>
        <v>26260194.85191671</v>
      </c>
      <c r="BF257" s="14">
        <f>T21+T23</f>
        <v>15745684.866999855</v>
      </c>
      <c r="BG257" s="14">
        <f>U21+U23</f>
        <v>37130653.12336228</v>
      </c>
      <c r="BH257" s="14">
        <f>V21+V23</f>
        <v>23816472.71228254</v>
      </c>
      <c r="BI257" s="14">
        <f t="shared" si="35"/>
        <v>102953005.55456138</v>
      </c>
    </row>
    <row r="258" spans="56:61" ht="12.75">
      <c r="BD258" s="13">
        <v>2009</v>
      </c>
      <c r="BE258" s="14">
        <f>W21+W23</f>
        <v>11751263.973642835</v>
      </c>
      <c r="BF258" s="14">
        <f>X21+X23</f>
        <v>23780626.435775187</v>
      </c>
      <c r="BG258" s="14">
        <f>Y21+Y23</f>
        <v>19947377.430879552</v>
      </c>
      <c r="BH258" s="14">
        <f>Z21+Z23</f>
        <v>37433083.42451394</v>
      </c>
      <c r="BI258" s="14">
        <f t="shared" si="35"/>
        <v>92912351.26481152</v>
      </c>
    </row>
    <row r="259" spans="56:61" ht="12.75">
      <c r="BD259" s="13">
        <v>2010</v>
      </c>
      <c r="BE259" s="14">
        <f>AA21+AA23</f>
        <v>25589519.302596092</v>
      </c>
      <c r="BF259" s="14">
        <f>AB21+AB23</f>
        <v>17684632.411514323</v>
      </c>
      <c r="BG259" s="14">
        <f>AC21+AC23</f>
        <v>23069778.5844848</v>
      </c>
      <c r="BH259" s="14">
        <f>AD21+AD23</f>
        <v>31870206.272928305</v>
      </c>
      <c r="BI259" s="14">
        <f t="shared" si="35"/>
        <v>98214136.57152352</v>
      </c>
    </row>
    <row r="260" spans="56:61" ht="12.75">
      <c r="BD260" s="13">
        <v>2011</v>
      </c>
      <c r="BE260" s="14">
        <f>AE$21+AE23</f>
        <v>27216459.409999996</v>
      </c>
      <c r="BF260" s="14">
        <f>AF$21+AF23</f>
        <v>12662222.580000002</v>
      </c>
      <c r="BG260" s="14">
        <f>AG$21+AG23</f>
        <v>22518601.720000006</v>
      </c>
      <c r="BH260" s="14">
        <f>AH$21+AH23</f>
        <v>41850784.95</v>
      </c>
      <c r="BI260" s="14">
        <f t="shared" si="35"/>
        <v>104248068.66</v>
      </c>
    </row>
    <row r="261" spans="56:61" ht="12.75">
      <c r="BD261" s="13">
        <v>2012</v>
      </c>
      <c r="BE261" s="14">
        <f>AI$21+AI23</f>
        <v>24991644.07</v>
      </c>
      <c r="BF261" s="14">
        <f>AJ$21+AJ23</f>
        <v>29746189.443000004</v>
      </c>
      <c r="BG261" s="14">
        <f>AK$21+AK23</f>
        <v>48247434.82699997</v>
      </c>
      <c r="BH261" s="14">
        <f>AL$21+AL23</f>
        <v>45273790.70000005</v>
      </c>
      <c r="BI261" s="14">
        <f>SUM(BE261:BH261)</f>
        <v>148259059.04000002</v>
      </c>
    </row>
    <row r="262" spans="56:61" ht="12.75">
      <c r="BD262" s="13">
        <v>2013</v>
      </c>
      <c r="BE262" s="14">
        <f>AM21+AM23</f>
        <v>33610918.25999999</v>
      </c>
      <c r="BF262" s="14">
        <f>AN21+AN23</f>
        <v>31283258.040000007</v>
      </c>
      <c r="BG262" s="14">
        <f>AO21+AO23</f>
        <v>43856842.91</v>
      </c>
      <c r="BH262" s="14">
        <f>AP21+AP23</f>
        <v>35983549.380000055</v>
      </c>
      <c r="BI262" s="14">
        <f>SUM(BE262:BH262)</f>
        <v>144734568.59000003</v>
      </c>
    </row>
    <row r="263" spans="56:61" ht="12.75">
      <c r="BD263" s="13">
        <v>2014</v>
      </c>
      <c r="BE263" s="14">
        <f>AQ21+AQ23</f>
        <v>29420187.829999994</v>
      </c>
      <c r="BF263" s="14">
        <f>AR21+AR23</f>
        <v>12158724.880000003</v>
      </c>
      <c r="BG263" s="14">
        <f>AS21+AS23</f>
        <v>21379485.41</v>
      </c>
      <c r="BH263" s="14">
        <f>AT21+AT23</f>
        <v>31697900.069999974</v>
      </c>
      <c r="BI263" s="14">
        <f>SUM(BE263:BH263)</f>
        <v>94656298.18999997</v>
      </c>
    </row>
    <row r="264" spans="56:61" ht="12.75">
      <c r="BD264" s="13">
        <v>2015</v>
      </c>
      <c r="BE264" s="14">
        <f>AU$21+AU$23</f>
        <v>16135710.89</v>
      </c>
      <c r="BF264" s="14">
        <f>AV$21+AV$23</f>
        <v>16939218.069999997</v>
      </c>
      <c r="BG264" s="14">
        <f>AW$21+AW$23</f>
        <v>20397846.719999995</v>
      </c>
      <c r="BH264" s="14" t="e">
        <f>AX$21+AX$23</f>
        <v>#REF!</v>
      </c>
      <c r="BI264" s="14" t="e">
        <f>SUM(BE264:BH264)</f>
        <v>#REF!</v>
      </c>
    </row>
    <row r="265" spans="56:61" ht="12.75">
      <c r="BD265" s="13">
        <v>2016</v>
      </c>
      <c r="BE265" s="14" t="e">
        <f>AY$21+AY$23</f>
        <v>#REF!</v>
      </c>
      <c r="BF265" s="14"/>
      <c r="BG265" s="14"/>
      <c r="BH265" s="14"/>
      <c r="BI265" s="14" t="e">
        <f>SUM(BE265:BH265)</f>
        <v>#REF!</v>
      </c>
    </row>
    <row r="266" spans="56:61" ht="12.75">
      <c r="BD266" s="10" t="s">
        <v>279</v>
      </c>
      <c r="BE266" s="30" t="e">
        <f>BE265/BE264-1</f>
        <v>#REF!</v>
      </c>
      <c r="BF266" s="30">
        <f>BF265/BF264-1</f>
        <v>-1</v>
      </c>
      <c r="BG266" s="30">
        <f>BG265/BG264-1</f>
        <v>-1</v>
      </c>
      <c r="BH266" s="30" t="e">
        <f>BH265/BH264-1</f>
        <v>#REF!</v>
      </c>
      <c r="BI266" s="30" t="e">
        <f>BI265/BI264-1</f>
        <v>#REF!</v>
      </c>
    </row>
  </sheetData>
  <sheetProtection/>
  <mergeCells count="15">
    <mergeCell ref="W1:Z1"/>
    <mergeCell ref="AA1:AD1"/>
    <mergeCell ref="AE1:AH1"/>
    <mergeCell ref="AI1:AL1"/>
    <mergeCell ref="AM1:AP1"/>
    <mergeCell ref="AY1:BB1"/>
    <mergeCell ref="AU1:AX1"/>
    <mergeCell ref="AQ1:AT1"/>
    <mergeCell ref="S1:V1"/>
    <mergeCell ref="A1:A2"/>
    <mergeCell ref="B1:B2"/>
    <mergeCell ref="C1:F1"/>
    <mergeCell ref="G1:J1"/>
    <mergeCell ref="K1:N1"/>
    <mergeCell ref="O1:R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X220"/>
  <sheetViews>
    <sheetView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23" width="9.140625" style="10" customWidth="1"/>
    <col min="24" max="24" width="17.57421875" style="10" bestFit="1" customWidth="1"/>
    <col min="25" max="16384" width="9.140625" style="10" customWidth="1"/>
  </cols>
  <sheetData>
    <row r="1" spans="1:11" ht="12.75">
      <c r="A1" s="43" t="s">
        <v>324</v>
      </c>
      <c r="K1" s="43" t="s">
        <v>320</v>
      </c>
    </row>
    <row r="3" ht="12.75">
      <c r="X3" s="15"/>
    </row>
    <row r="4" ht="12.75">
      <c r="X4" s="15"/>
    </row>
    <row r="5" ht="12.75">
      <c r="X5" s="15"/>
    </row>
    <row r="6" ht="12.75">
      <c r="X6" s="15"/>
    </row>
    <row r="7" ht="12.75">
      <c r="X7" s="15"/>
    </row>
    <row r="8" ht="12.75">
      <c r="X8" s="15"/>
    </row>
    <row r="9" ht="12.75">
      <c r="X9" s="15"/>
    </row>
    <row r="24" spans="1:11" ht="12.75">
      <c r="A24" s="43" t="s">
        <v>321</v>
      </c>
      <c r="K24" s="43" t="s">
        <v>319</v>
      </c>
    </row>
    <row r="49" spans="1:11" ht="12.75">
      <c r="A49" s="43" t="s">
        <v>308</v>
      </c>
      <c r="K49" s="43" t="s">
        <v>309</v>
      </c>
    </row>
    <row r="50" spans="1:11" ht="12.75">
      <c r="A50" s="43" t="s">
        <v>310</v>
      </c>
      <c r="K50" s="43" t="s">
        <v>311</v>
      </c>
    </row>
    <row r="74" spans="1:11" ht="12.75">
      <c r="A74" s="43" t="s">
        <v>5</v>
      </c>
      <c r="K74" s="43" t="s">
        <v>223</v>
      </c>
    </row>
    <row r="98" spans="1:11" ht="12.75">
      <c r="A98" s="43" t="s">
        <v>305</v>
      </c>
      <c r="K98" s="43" t="s">
        <v>302</v>
      </c>
    </row>
    <row r="122" spans="1:11" ht="12.75">
      <c r="A122" s="43" t="s">
        <v>306</v>
      </c>
      <c r="K122" s="43" t="s">
        <v>39</v>
      </c>
    </row>
    <row r="145" spans="1:11" ht="12.75">
      <c r="A145" s="43" t="s">
        <v>307</v>
      </c>
      <c r="K145" s="43" t="s">
        <v>304</v>
      </c>
    </row>
    <row r="169" spans="1:11" ht="12.75">
      <c r="A169" s="43" t="s">
        <v>312</v>
      </c>
      <c r="K169" s="43" t="s">
        <v>313</v>
      </c>
    </row>
    <row r="170" spans="1:11" ht="12.75">
      <c r="A170" s="43" t="s">
        <v>314</v>
      </c>
      <c r="K170" s="43" t="s">
        <v>315</v>
      </c>
    </row>
    <row r="192" ht="12.75">
      <c r="B192" s="43"/>
    </row>
    <row r="194" ht="12.75">
      <c r="A194" s="43" t="s">
        <v>316</v>
      </c>
    </row>
    <row r="195" ht="12.75">
      <c r="A195" s="43" t="s">
        <v>256</v>
      </c>
    </row>
    <row r="220" ht="12.75">
      <c r="A220" s="43" t="s">
        <v>322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 Sannik</dc:creator>
  <cp:keywords/>
  <dc:description/>
  <cp:lastModifiedBy>karmenP</cp:lastModifiedBy>
  <cp:lastPrinted>2018-02-21T09:12:34Z</cp:lastPrinted>
  <dcterms:created xsi:type="dcterms:W3CDTF">2014-08-07T08:08:57Z</dcterms:created>
  <dcterms:modified xsi:type="dcterms:W3CDTF">2018-02-22T08:06:09Z</dcterms:modified>
  <cp:category/>
  <cp:version/>
  <cp:contentType/>
  <cp:contentStatus/>
</cp:coreProperties>
</file>