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 tabRatio="800" firstSheet="2" activeTab="4"/>
  </bookViews>
  <sheets>
    <sheet name="Rahvaloendus" sheetId="1" state="hidden" r:id="rId1"/>
    <sheet name="Demogr.trend alates 2012" sheetId="2" state="hidden" r:id="rId2"/>
    <sheet name="Majapidamiste nõudlus asulates" sheetId="4" r:id="rId3"/>
    <sheet name="Veebilansi prognoos Ramsi VK" sheetId="7" r:id="rId4"/>
    <sheet name="Reoveebilansi prognoos Ramsi VK" sheetId="8" r:id="rId5"/>
  </sheets>
  <calcPr calcId="152511"/>
</workbook>
</file>

<file path=xl/calcChain.xml><?xml version="1.0" encoding="utf-8"?>
<calcChain xmlns="http://schemas.openxmlformats.org/spreadsheetml/2006/main">
  <c r="H5" i="8" l="1"/>
  <c r="H149" i="8"/>
  <c r="H150" i="8"/>
  <c r="E20" i="2"/>
  <c r="G20" i="2" s="1"/>
  <c r="G21" i="2" s="1"/>
  <c r="G22" i="2" s="1"/>
  <c r="F20" i="2"/>
  <c r="E21" i="2"/>
  <c r="F21" i="2"/>
  <c r="E22" i="2"/>
  <c r="F22" i="2"/>
  <c r="Q281" i="7"/>
  <c r="R283" i="7"/>
  <c r="S283" i="7"/>
  <c r="T283" i="7"/>
  <c r="U245" i="7"/>
  <c r="T61" i="4"/>
  <c r="S88" i="4"/>
  <c r="I141" i="7" l="1"/>
  <c r="H141" i="7"/>
  <c r="R3" i="8"/>
  <c r="S3" i="8"/>
  <c r="T3" i="8"/>
  <c r="R9" i="8"/>
  <c r="R11" i="8" s="1"/>
  <c r="S9" i="8"/>
  <c r="S11" i="8" s="1"/>
  <c r="T9" i="8"/>
  <c r="R15" i="8"/>
  <c r="S15" i="8"/>
  <c r="T15" i="8"/>
  <c r="R21" i="8"/>
  <c r="R23" i="8" s="1"/>
  <c r="S21" i="8"/>
  <c r="S23" i="8" s="1"/>
  <c r="T21" i="8"/>
  <c r="T23" i="8" s="1"/>
  <c r="R27" i="8"/>
  <c r="S27" i="8"/>
  <c r="S29" i="8" s="1"/>
  <c r="S32" i="8" s="1"/>
  <c r="S31" i="8" s="1"/>
  <c r="T27" i="8"/>
  <c r="T29" i="8" s="1"/>
  <c r="T32" i="8" s="1"/>
  <c r="T31" i="8" s="1"/>
  <c r="R29" i="8"/>
  <c r="R32" i="8" s="1"/>
  <c r="R31" i="8" s="1"/>
  <c r="R33" i="8"/>
  <c r="S33" i="8"/>
  <c r="S35" i="8" s="1"/>
  <c r="T33" i="8"/>
  <c r="T35" i="8" s="1"/>
  <c r="R35" i="8"/>
  <c r="R39" i="8"/>
  <c r="R41" i="8" s="1"/>
  <c r="S39" i="8"/>
  <c r="S41" i="8" s="1"/>
  <c r="T39" i="8"/>
  <c r="T41" i="8" s="1"/>
  <c r="R45" i="8"/>
  <c r="R47" i="8" s="1"/>
  <c r="S45" i="8"/>
  <c r="T45" i="8"/>
  <c r="T47" i="8" s="1"/>
  <c r="S47" i="8"/>
  <c r="R51" i="8"/>
  <c r="S51" i="8"/>
  <c r="T51" i="8"/>
  <c r="R57" i="8"/>
  <c r="S57" i="8"/>
  <c r="T57" i="8"/>
  <c r="R63" i="8"/>
  <c r="S63" i="8"/>
  <c r="T63" i="8"/>
  <c r="R69" i="8"/>
  <c r="S69" i="8"/>
  <c r="S71" i="8" s="1"/>
  <c r="S74" i="8" s="1"/>
  <c r="S73" i="8" s="1"/>
  <c r="T69" i="8"/>
  <c r="T71" i="8" s="1"/>
  <c r="T74" i="8" s="1"/>
  <c r="T73" i="8" s="1"/>
  <c r="R71" i="8"/>
  <c r="R74" i="8" s="1"/>
  <c r="R73" i="8" s="1"/>
  <c r="R75" i="8"/>
  <c r="R77" i="8" s="1"/>
  <c r="S75" i="8"/>
  <c r="S77" i="8" s="1"/>
  <c r="T75" i="8"/>
  <c r="T77" i="8" s="1"/>
  <c r="R81" i="8"/>
  <c r="S81" i="8"/>
  <c r="S142" i="8" s="1"/>
  <c r="T81" i="8"/>
  <c r="R87" i="8"/>
  <c r="S87" i="8"/>
  <c r="T87" i="8"/>
  <c r="R93" i="8"/>
  <c r="S93" i="8"/>
  <c r="T93" i="8"/>
  <c r="R99" i="8"/>
  <c r="S99" i="8"/>
  <c r="T99" i="8"/>
  <c r="T144" i="8" s="1"/>
  <c r="R105" i="8"/>
  <c r="S105" i="8"/>
  <c r="T105" i="8"/>
  <c r="R111" i="8"/>
  <c r="R113" i="8" s="1"/>
  <c r="R116" i="8" s="1"/>
  <c r="R115" i="8" s="1"/>
  <c r="S111" i="8"/>
  <c r="T111" i="8"/>
  <c r="T113" i="8" s="1"/>
  <c r="T116" i="8" s="1"/>
  <c r="T115" i="8" s="1"/>
  <c r="S113" i="8"/>
  <c r="S116" i="8" s="1"/>
  <c r="S115" i="8" s="1"/>
  <c r="R117" i="8"/>
  <c r="S117" i="8"/>
  <c r="S119" i="8" s="1"/>
  <c r="S122" i="8" s="1"/>
  <c r="S121" i="8" s="1"/>
  <c r="T117" i="8"/>
  <c r="R119" i="8"/>
  <c r="R122" i="8" s="1"/>
  <c r="R121" i="8" s="1"/>
  <c r="T119" i="8"/>
  <c r="T122" i="8" s="1"/>
  <c r="T121" i="8" s="1"/>
  <c r="R123" i="8"/>
  <c r="S123" i="8"/>
  <c r="S125" i="8" s="1"/>
  <c r="S128" i="8" s="1"/>
  <c r="S127" i="8" s="1"/>
  <c r="T123" i="8"/>
  <c r="R125" i="8"/>
  <c r="R128" i="8" s="1"/>
  <c r="R127" i="8" s="1"/>
  <c r="T125" i="8"/>
  <c r="T128" i="8" s="1"/>
  <c r="T127" i="8" s="1"/>
  <c r="R129" i="8"/>
  <c r="R131" i="8" s="1"/>
  <c r="R134" i="8" s="1"/>
  <c r="R133" i="8" s="1"/>
  <c r="S129" i="8"/>
  <c r="S131" i="8" s="1"/>
  <c r="S134" i="8" s="1"/>
  <c r="S133" i="8" s="1"/>
  <c r="T129" i="8"/>
  <c r="T131" i="8"/>
  <c r="T134" i="8" s="1"/>
  <c r="T133" i="8" s="1"/>
  <c r="R135" i="8"/>
  <c r="R137" i="8" s="1"/>
  <c r="S135" i="8"/>
  <c r="T135" i="8"/>
  <c r="T137" i="8" s="1"/>
  <c r="S137" i="8"/>
  <c r="R280" i="7"/>
  <c r="S280" i="7"/>
  <c r="T280" i="7"/>
  <c r="R281" i="7"/>
  <c r="R282" i="7" s="1"/>
  <c r="S281" i="7"/>
  <c r="S282" i="7" s="1"/>
  <c r="T281" i="7"/>
  <c r="R137" i="7"/>
  <c r="S137" i="7"/>
  <c r="T137" i="7"/>
  <c r="R138" i="7"/>
  <c r="R140" i="7" s="1"/>
  <c r="S138" i="7"/>
  <c r="T138" i="7"/>
  <c r="R139" i="7"/>
  <c r="S139" i="7"/>
  <c r="R144" i="7"/>
  <c r="S144" i="7"/>
  <c r="S146" i="7" s="1"/>
  <c r="S149" i="7" s="1"/>
  <c r="S148" i="7" s="1"/>
  <c r="T144" i="7"/>
  <c r="T146" i="7" s="1"/>
  <c r="T149" i="7" s="1"/>
  <c r="T148" i="7" s="1"/>
  <c r="R146" i="7"/>
  <c r="R149" i="7"/>
  <c r="R148" i="7" s="1"/>
  <c r="R150" i="7"/>
  <c r="S150" i="7"/>
  <c r="S152" i="7" s="1"/>
  <c r="S155" i="7" s="1"/>
  <c r="S154" i="7" s="1"/>
  <c r="T150" i="7"/>
  <c r="T152" i="7" s="1"/>
  <c r="R151" i="7"/>
  <c r="S151" i="7" s="1"/>
  <c r="T151" i="7" s="1"/>
  <c r="R152" i="7"/>
  <c r="R155" i="7" s="1"/>
  <c r="R154" i="7" s="1"/>
  <c r="T155" i="7"/>
  <c r="T154" i="7" s="1"/>
  <c r="R156" i="7"/>
  <c r="S156" i="7"/>
  <c r="T156" i="7"/>
  <c r="T158" i="7" s="1"/>
  <c r="R157" i="7"/>
  <c r="R158" i="7" s="1"/>
  <c r="S157" i="7"/>
  <c r="T157" i="7"/>
  <c r="S158" i="7"/>
  <c r="R163" i="7"/>
  <c r="S163" i="7"/>
  <c r="T163" i="7"/>
  <c r="R168" i="7"/>
  <c r="S168" i="7"/>
  <c r="S170" i="7" s="1"/>
  <c r="T168" i="7"/>
  <c r="T170" i="7" s="1"/>
  <c r="R170" i="7"/>
  <c r="R174" i="7"/>
  <c r="S174" i="7"/>
  <c r="T174" i="7"/>
  <c r="T176" i="7" s="1"/>
  <c r="R176" i="7"/>
  <c r="S176" i="7"/>
  <c r="R180" i="7"/>
  <c r="R182" i="7" s="1"/>
  <c r="S180" i="7"/>
  <c r="T180" i="7"/>
  <c r="S182" i="7"/>
  <c r="T182" i="7"/>
  <c r="R186" i="7"/>
  <c r="R188" i="7" s="1"/>
  <c r="S186" i="7"/>
  <c r="S188" i="7" s="1"/>
  <c r="T186" i="7"/>
  <c r="R187" i="7"/>
  <c r="S187" i="7"/>
  <c r="T187" i="7"/>
  <c r="T188" i="7" s="1"/>
  <c r="R192" i="7"/>
  <c r="S192" i="7"/>
  <c r="T192" i="7"/>
  <c r="T194" i="7" s="1"/>
  <c r="R194" i="7"/>
  <c r="S194" i="7"/>
  <c r="R198" i="7"/>
  <c r="R200" i="7" s="1"/>
  <c r="S198" i="7"/>
  <c r="T198" i="7"/>
  <c r="R199" i="7"/>
  <c r="S199" i="7"/>
  <c r="R204" i="7"/>
  <c r="S204" i="7"/>
  <c r="S206" i="7" s="1"/>
  <c r="T204" i="7"/>
  <c r="T206" i="7" s="1"/>
  <c r="R206" i="7"/>
  <c r="R210" i="7"/>
  <c r="S210" i="7"/>
  <c r="T210" i="7"/>
  <c r="T212" i="7" s="1"/>
  <c r="R212" i="7"/>
  <c r="S212" i="7"/>
  <c r="R216" i="7"/>
  <c r="R218" i="7" s="1"/>
  <c r="S216" i="7"/>
  <c r="T216" i="7"/>
  <c r="R217" i="7"/>
  <c r="S217" i="7"/>
  <c r="R222" i="7"/>
  <c r="S222" i="7"/>
  <c r="S224" i="7" s="1"/>
  <c r="T222" i="7"/>
  <c r="T224" i="7" s="1"/>
  <c r="R224" i="7"/>
  <c r="R225" i="7"/>
  <c r="R228" i="7"/>
  <c r="S228" i="7"/>
  <c r="T228" i="7"/>
  <c r="T230" i="7" s="1"/>
  <c r="T233" i="7" s="1"/>
  <c r="T232" i="7" s="1"/>
  <c r="R230" i="7"/>
  <c r="R233" i="7" s="1"/>
  <c r="R232" i="7" s="1"/>
  <c r="S230" i="7"/>
  <c r="S233" i="7" s="1"/>
  <c r="S232" i="7" s="1"/>
  <c r="R234" i="7"/>
  <c r="S234" i="7"/>
  <c r="T234" i="7"/>
  <c r="R235" i="7"/>
  <c r="R237" i="7"/>
  <c r="S237" i="7"/>
  <c r="T237" i="7"/>
  <c r="R240" i="7"/>
  <c r="R242" i="7" s="1"/>
  <c r="R245" i="7" s="1"/>
  <c r="R244" i="7" s="1"/>
  <c r="S240" i="7"/>
  <c r="S242" i="7" s="1"/>
  <c r="T240" i="7"/>
  <c r="R241" i="7"/>
  <c r="S241" i="7"/>
  <c r="T241" i="7"/>
  <c r="T242" i="7" s="1"/>
  <c r="R243" i="7"/>
  <c r="R246" i="7"/>
  <c r="S246" i="7"/>
  <c r="T246" i="7"/>
  <c r="T248" i="7" s="1"/>
  <c r="R248" i="7"/>
  <c r="S248" i="7"/>
  <c r="R252" i="7"/>
  <c r="R254" i="7" s="1"/>
  <c r="S252" i="7"/>
  <c r="T252" i="7"/>
  <c r="S254" i="7"/>
  <c r="T254" i="7"/>
  <c r="R258" i="7"/>
  <c r="R260" i="7" s="1"/>
  <c r="S258" i="7"/>
  <c r="S260" i="7" s="1"/>
  <c r="T258" i="7"/>
  <c r="T260" i="7"/>
  <c r="R264" i="7"/>
  <c r="R266" i="7" s="1"/>
  <c r="S264" i="7"/>
  <c r="S266" i="7" s="1"/>
  <c r="T264" i="7"/>
  <c r="T266" i="7" s="1"/>
  <c r="R270" i="7"/>
  <c r="S270" i="7"/>
  <c r="T270" i="7"/>
  <c r="T272" i="7" s="1"/>
  <c r="R272" i="7"/>
  <c r="S272" i="7"/>
  <c r="T190" i="4"/>
  <c r="U190" i="4"/>
  <c r="V190" i="4"/>
  <c r="T191" i="4"/>
  <c r="U191" i="4"/>
  <c r="V191" i="4"/>
  <c r="T192" i="4"/>
  <c r="U192" i="4"/>
  <c r="U138" i="4" s="1"/>
  <c r="V192" i="4"/>
  <c r="T193" i="4"/>
  <c r="U193" i="4"/>
  <c r="V193" i="4"/>
  <c r="V139" i="4" s="1"/>
  <c r="T194" i="4"/>
  <c r="U194" i="4"/>
  <c r="V194" i="4"/>
  <c r="T195" i="4"/>
  <c r="T141" i="4" s="1"/>
  <c r="U195" i="4"/>
  <c r="V195" i="4"/>
  <c r="T196" i="4"/>
  <c r="U196" i="4"/>
  <c r="U142" i="4" s="1"/>
  <c r="V196" i="4"/>
  <c r="T197" i="4"/>
  <c r="U197" i="4"/>
  <c r="V197" i="4"/>
  <c r="V143" i="4" s="1"/>
  <c r="T198" i="4"/>
  <c r="U198" i="4"/>
  <c r="V198" i="4"/>
  <c r="T199" i="4"/>
  <c r="T145" i="4" s="1"/>
  <c r="U199" i="4"/>
  <c r="V199" i="4"/>
  <c r="T200" i="4"/>
  <c r="U200" i="4"/>
  <c r="U146" i="4" s="1"/>
  <c r="V200" i="4"/>
  <c r="T201" i="4"/>
  <c r="U201" i="4"/>
  <c r="V201" i="4"/>
  <c r="V147" i="4" s="1"/>
  <c r="T202" i="4"/>
  <c r="U202" i="4"/>
  <c r="V202" i="4"/>
  <c r="T203" i="4"/>
  <c r="T149" i="4" s="1"/>
  <c r="U203" i="4"/>
  <c r="V203" i="4"/>
  <c r="T204" i="4"/>
  <c r="U204" i="4"/>
  <c r="V204" i="4"/>
  <c r="T205" i="4"/>
  <c r="U205" i="4"/>
  <c r="V205" i="4"/>
  <c r="T206" i="4"/>
  <c r="U206" i="4"/>
  <c r="V206" i="4"/>
  <c r="T207" i="4"/>
  <c r="U207" i="4"/>
  <c r="V207" i="4"/>
  <c r="T208" i="4"/>
  <c r="U208" i="4"/>
  <c r="V208" i="4"/>
  <c r="T209" i="4"/>
  <c r="U209" i="4"/>
  <c r="V209" i="4"/>
  <c r="T210" i="4"/>
  <c r="U210" i="4"/>
  <c r="V210" i="4"/>
  <c r="T211" i="4"/>
  <c r="U211" i="4"/>
  <c r="V211" i="4"/>
  <c r="T212" i="4"/>
  <c r="U212" i="4"/>
  <c r="V212" i="4"/>
  <c r="T213" i="4"/>
  <c r="U213" i="4"/>
  <c r="V213" i="4"/>
  <c r="T136" i="4"/>
  <c r="U136" i="4" s="1"/>
  <c r="V136" i="4" s="1"/>
  <c r="U137" i="4"/>
  <c r="V137" i="4"/>
  <c r="T138" i="4"/>
  <c r="V138" i="4"/>
  <c r="T139" i="4"/>
  <c r="U139" i="4"/>
  <c r="T140" i="4"/>
  <c r="U140" i="4"/>
  <c r="V140" i="4"/>
  <c r="U141" i="4"/>
  <c r="V141" i="4"/>
  <c r="T142" i="4"/>
  <c r="V142" i="4"/>
  <c r="T143" i="4"/>
  <c r="U143" i="4"/>
  <c r="T144" i="4"/>
  <c r="U144" i="4"/>
  <c r="V144" i="4"/>
  <c r="U145" i="4"/>
  <c r="V145" i="4"/>
  <c r="T146" i="4"/>
  <c r="V146" i="4"/>
  <c r="T147" i="4"/>
  <c r="U147" i="4"/>
  <c r="T148" i="4"/>
  <c r="U148" i="4"/>
  <c r="V148" i="4"/>
  <c r="U149" i="4"/>
  <c r="V149" i="4"/>
  <c r="T150" i="4"/>
  <c r="U150" i="4"/>
  <c r="V150" i="4" s="1"/>
  <c r="T151" i="4"/>
  <c r="U151" i="4"/>
  <c r="V151" i="4"/>
  <c r="T152" i="4"/>
  <c r="U152" i="4"/>
  <c r="V152" i="4"/>
  <c r="T153" i="4"/>
  <c r="U153" i="4"/>
  <c r="V153" i="4"/>
  <c r="T154" i="4"/>
  <c r="U154" i="4"/>
  <c r="V154" i="4"/>
  <c r="T155" i="4"/>
  <c r="U155" i="4"/>
  <c r="V155" i="4"/>
  <c r="T156" i="4"/>
  <c r="U156" i="4"/>
  <c r="V156" i="4"/>
  <c r="T157" i="4"/>
  <c r="U157" i="4"/>
  <c r="V157" i="4"/>
  <c r="T158" i="4"/>
  <c r="U158" i="4"/>
  <c r="V158" i="4"/>
  <c r="T159" i="4"/>
  <c r="U159" i="4"/>
  <c r="V159" i="4"/>
  <c r="T164" i="4"/>
  <c r="U164" i="4"/>
  <c r="V164" i="4"/>
  <c r="T165" i="4"/>
  <c r="U165" i="4" s="1"/>
  <c r="V165" i="4" s="1"/>
  <c r="T166" i="4"/>
  <c r="U166" i="4"/>
  <c r="V166" i="4" s="1"/>
  <c r="T167" i="4"/>
  <c r="U167" i="4"/>
  <c r="V167" i="4"/>
  <c r="T168" i="4"/>
  <c r="U168" i="4"/>
  <c r="V168" i="4"/>
  <c r="T169" i="4"/>
  <c r="U169" i="4" s="1"/>
  <c r="V169" i="4" s="1"/>
  <c r="T170" i="4"/>
  <c r="U170" i="4"/>
  <c r="V170" i="4" s="1"/>
  <c r="T171" i="4"/>
  <c r="U171" i="4"/>
  <c r="V171" i="4"/>
  <c r="T172" i="4"/>
  <c r="U172" i="4"/>
  <c r="V172" i="4"/>
  <c r="T173" i="4"/>
  <c r="U173" i="4" s="1"/>
  <c r="V173" i="4" s="1"/>
  <c r="T174" i="4"/>
  <c r="U174" i="4"/>
  <c r="V174" i="4" s="1"/>
  <c r="T175" i="4"/>
  <c r="U175" i="4"/>
  <c r="V175" i="4"/>
  <c r="T176" i="4"/>
  <c r="U176" i="4" s="1"/>
  <c r="V176" i="4" s="1"/>
  <c r="T177" i="4"/>
  <c r="U177" i="4" s="1"/>
  <c r="V177" i="4" s="1"/>
  <c r="T179" i="4"/>
  <c r="U179" i="4"/>
  <c r="V179" i="4" s="1"/>
  <c r="T180" i="4"/>
  <c r="U180" i="4"/>
  <c r="V180" i="4"/>
  <c r="T181" i="4"/>
  <c r="U181" i="4" s="1"/>
  <c r="V181" i="4" s="1"/>
  <c r="T182" i="4"/>
  <c r="U182" i="4" s="1"/>
  <c r="V182" i="4" s="1"/>
  <c r="T183" i="4"/>
  <c r="U183" i="4"/>
  <c r="V183" i="4" s="1"/>
  <c r="T184" i="4"/>
  <c r="U184" i="4"/>
  <c r="V184" i="4"/>
  <c r="T185" i="4"/>
  <c r="U185" i="4" s="1"/>
  <c r="V185" i="4" s="1"/>
  <c r="T186" i="4"/>
  <c r="U186" i="4" s="1"/>
  <c r="V186" i="4" s="1"/>
  <c r="T187" i="4"/>
  <c r="U187" i="4"/>
  <c r="V187" i="4" s="1"/>
  <c r="T110" i="4"/>
  <c r="U110" i="4"/>
  <c r="V110" i="4"/>
  <c r="T111" i="4"/>
  <c r="U111" i="4" s="1"/>
  <c r="T112" i="4"/>
  <c r="T84" i="4" s="1"/>
  <c r="U112" i="4"/>
  <c r="V112" i="4" s="1"/>
  <c r="V84" i="4" s="1"/>
  <c r="T113" i="4"/>
  <c r="U113" i="4"/>
  <c r="U85" i="4" s="1"/>
  <c r="V113" i="4"/>
  <c r="V85" i="4" s="1"/>
  <c r="T114" i="4"/>
  <c r="U114" i="4"/>
  <c r="V114" i="4"/>
  <c r="V86" i="4" s="1"/>
  <c r="T115" i="4"/>
  <c r="U115" i="4" s="1"/>
  <c r="T116" i="4"/>
  <c r="T88" i="4" s="1"/>
  <c r="R162" i="7" s="1"/>
  <c r="U116" i="4"/>
  <c r="V116" i="4" s="1"/>
  <c r="T117" i="4"/>
  <c r="U117" i="4"/>
  <c r="U89" i="4" s="1"/>
  <c r="V117" i="4"/>
  <c r="V89" i="4" s="1"/>
  <c r="T118" i="4"/>
  <c r="U118" i="4"/>
  <c r="V118" i="4"/>
  <c r="V90" i="4" s="1"/>
  <c r="T119" i="4"/>
  <c r="U119" i="4" s="1"/>
  <c r="T120" i="4"/>
  <c r="T92" i="4" s="1"/>
  <c r="U120" i="4"/>
  <c r="V120" i="4" s="1"/>
  <c r="V92" i="4" s="1"/>
  <c r="T121" i="4"/>
  <c r="U121" i="4"/>
  <c r="U93" i="4" s="1"/>
  <c r="V121" i="4"/>
  <c r="V93" i="4" s="1"/>
  <c r="T122" i="4"/>
  <c r="U122" i="4"/>
  <c r="V122" i="4"/>
  <c r="V94" i="4" s="1"/>
  <c r="T123" i="4"/>
  <c r="U123" i="4" s="1"/>
  <c r="T124" i="4"/>
  <c r="T96" i="4" s="1"/>
  <c r="U124" i="4"/>
  <c r="V124" i="4" s="1"/>
  <c r="V96" i="4" s="1"/>
  <c r="T125" i="4"/>
  <c r="U125" i="4"/>
  <c r="U97" i="4" s="1"/>
  <c r="V125" i="4"/>
  <c r="V97" i="4" s="1"/>
  <c r="T126" i="4"/>
  <c r="U126" i="4"/>
  <c r="V126" i="4"/>
  <c r="V98" i="4" s="1"/>
  <c r="T127" i="4"/>
  <c r="U127" i="4" s="1"/>
  <c r="T128" i="4"/>
  <c r="T100" i="4" s="1"/>
  <c r="U128" i="4"/>
  <c r="V128" i="4" s="1"/>
  <c r="V100" i="4" s="1"/>
  <c r="T129" i="4"/>
  <c r="U129" i="4"/>
  <c r="U101" i="4" s="1"/>
  <c r="V129" i="4"/>
  <c r="V101" i="4" s="1"/>
  <c r="T130" i="4"/>
  <c r="U130" i="4"/>
  <c r="V130" i="4"/>
  <c r="V102" i="4" s="1"/>
  <c r="T131" i="4"/>
  <c r="U131" i="4" s="1"/>
  <c r="T132" i="4"/>
  <c r="T104" i="4" s="1"/>
  <c r="U132" i="4"/>
  <c r="V132" i="4" s="1"/>
  <c r="V104" i="4" s="1"/>
  <c r="T133" i="4"/>
  <c r="U133" i="4"/>
  <c r="U105" i="4" s="1"/>
  <c r="V133" i="4"/>
  <c r="V105" i="4" s="1"/>
  <c r="T82" i="4"/>
  <c r="U82" i="4" s="1"/>
  <c r="V82" i="4" s="1"/>
  <c r="T85" i="4"/>
  <c r="T86" i="4"/>
  <c r="U86" i="4"/>
  <c r="T89" i="4"/>
  <c r="T90" i="4"/>
  <c r="U90" i="4"/>
  <c r="T93" i="4"/>
  <c r="T94" i="4"/>
  <c r="U94" i="4"/>
  <c r="T97" i="4"/>
  <c r="T98" i="4"/>
  <c r="U98" i="4"/>
  <c r="T101" i="4"/>
  <c r="T102" i="4"/>
  <c r="U102" i="4"/>
  <c r="T105" i="4"/>
  <c r="T55" i="4"/>
  <c r="U55" i="4" s="1"/>
  <c r="V55" i="4" s="1"/>
  <c r="T56" i="4"/>
  <c r="T79" i="4" s="1"/>
  <c r="U56" i="4"/>
  <c r="V56" i="4"/>
  <c r="T57" i="4"/>
  <c r="U57" i="4"/>
  <c r="U79" i="4" s="1"/>
  <c r="V57" i="4"/>
  <c r="T58" i="4"/>
  <c r="U58" i="4"/>
  <c r="V58" i="4"/>
  <c r="T59" i="4"/>
  <c r="U59" i="4"/>
  <c r="V59" i="4"/>
  <c r="T60" i="4"/>
  <c r="U60" i="4"/>
  <c r="V60" i="4"/>
  <c r="U61" i="4"/>
  <c r="V61" i="4"/>
  <c r="T62" i="4"/>
  <c r="U62" i="4"/>
  <c r="V62" i="4"/>
  <c r="T63" i="4"/>
  <c r="U63" i="4"/>
  <c r="V63" i="4"/>
  <c r="T64" i="4"/>
  <c r="U64" i="4"/>
  <c r="V64" i="4"/>
  <c r="T65" i="4"/>
  <c r="U65" i="4"/>
  <c r="V65" i="4"/>
  <c r="T66" i="4"/>
  <c r="U66" i="4"/>
  <c r="V66" i="4"/>
  <c r="T67" i="4"/>
  <c r="U67" i="4"/>
  <c r="V67" i="4"/>
  <c r="T68" i="4"/>
  <c r="U68" i="4"/>
  <c r="V68" i="4"/>
  <c r="T69" i="4"/>
  <c r="U69" i="4"/>
  <c r="V69" i="4"/>
  <c r="T70" i="4"/>
  <c r="U70" i="4"/>
  <c r="V70" i="4"/>
  <c r="T71" i="4"/>
  <c r="U71" i="4"/>
  <c r="V71" i="4"/>
  <c r="T72" i="4"/>
  <c r="U72" i="4"/>
  <c r="V72" i="4"/>
  <c r="T73" i="4"/>
  <c r="U73" i="4"/>
  <c r="V73" i="4"/>
  <c r="T74" i="4"/>
  <c r="U74" i="4"/>
  <c r="V74" i="4"/>
  <c r="T75" i="4"/>
  <c r="U75" i="4"/>
  <c r="V75" i="4"/>
  <c r="T76" i="4"/>
  <c r="U76" i="4"/>
  <c r="V76" i="4"/>
  <c r="T77" i="4"/>
  <c r="U77" i="4"/>
  <c r="V77" i="4"/>
  <c r="T78" i="4"/>
  <c r="U78" i="4"/>
  <c r="V78" i="4"/>
  <c r="T29" i="4"/>
  <c r="U29" i="4" s="1"/>
  <c r="V29" i="4" s="1"/>
  <c r="T30" i="4"/>
  <c r="U30" i="4" s="1"/>
  <c r="V30" i="4" s="1"/>
  <c r="T31" i="4"/>
  <c r="U31" i="4"/>
  <c r="V31" i="4" s="1"/>
  <c r="T32" i="4"/>
  <c r="U32" i="4"/>
  <c r="V32" i="4"/>
  <c r="T33" i="4"/>
  <c r="U33" i="4" s="1"/>
  <c r="V33" i="4" s="1"/>
  <c r="T34" i="4"/>
  <c r="U34" i="4" s="1"/>
  <c r="V34" i="4" s="1"/>
  <c r="T36" i="4"/>
  <c r="U36" i="4"/>
  <c r="V36" i="4" s="1"/>
  <c r="T37" i="4"/>
  <c r="U37" i="4" s="1"/>
  <c r="V37" i="4" s="1"/>
  <c r="T38" i="4"/>
  <c r="U38" i="4" s="1"/>
  <c r="V38" i="4" s="1"/>
  <c r="T39" i="4"/>
  <c r="U39" i="4" s="1"/>
  <c r="V39" i="4" s="1"/>
  <c r="T40" i="4"/>
  <c r="U40" i="4"/>
  <c r="V40" i="4" s="1"/>
  <c r="T41" i="4"/>
  <c r="U41" i="4" s="1"/>
  <c r="V41" i="4" s="1"/>
  <c r="T42" i="4"/>
  <c r="U42" i="4"/>
  <c r="V42" i="4" s="1"/>
  <c r="T49" i="4"/>
  <c r="U49" i="4" s="1"/>
  <c r="V49" i="4" s="1"/>
  <c r="T50" i="4"/>
  <c r="U50" i="4"/>
  <c r="V50" i="4" s="1"/>
  <c r="T51" i="4"/>
  <c r="U51" i="4" s="1"/>
  <c r="V51" i="4" s="1"/>
  <c r="T52" i="4"/>
  <c r="U52" i="4"/>
  <c r="V52" i="4" s="1"/>
  <c r="T2" i="4"/>
  <c r="U2" i="4"/>
  <c r="V2" i="4" s="1"/>
  <c r="T3" i="4"/>
  <c r="U3" i="4" s="1"/>
  <c r="T4" i="4"/>
  <c r="U4" i="4"/>
  <c r="V4" i="4" s="1"/>
  <c r="T5" i="4"/>
  <c r="U5" i="4" s="1"/>
  <c r="V5" i="4" s="1"/>
  <c r="T6" i="4"/>
  <c r="U6" i="4"/>
  <c r="V6" i="4" s="1"/>
  <c r="T7" i="4"/>
  <c r="U7" i="4" s="1"/>
  <c r="V7" i="4" s="1"/>
  <c r="T8" i="4"/>
  <c r="U8" i="4"/>
  <c r="V8" i="4" s="1"/>
  <c r="T9" i="4"/>
  <c r="U9" i="4" s="1"/>
  <c r="V9" i="4" s="1"/>
  <c r="T10" i="4"/>
  <c r="U10" i="4"/>
  <c r="V10" i="4" s="1"/>
  <c r="T11" i="4"/>
  <c r="U11" i="4" s="1"/>
  <c r="V11" i="4" s="1"/>
  <c r="T12" i="4"/>
  <c r="U12" i="4"/>
  <c r="V12" i="4" s="1"/>
  <c r="T13" i="4"/>
  <c r="U13" i="4" s="1"/>
  <c r="V13" i="4" s="1"/>
  <c r="T14" i="4"/>
  <c r="U14" i="4"/>
  <c r="V14" i="4" s="1"/>
  <c r="T15" i="4"/>
  <c r="U15" i="4" s="1"/>
  <c r="V15" i="4" s="1"/>
  <c r="T16" i="4"/>
  <c r="U16" i="4"/>
  <c r="V16" i="4" s="1"/>
  <c r="T17" i="4"/>
  <c r="U17" i="4" s="1"/>
  <c r="V17" i="4" s="1"/>
  <c r="T18" i="4"/>
  <c r="U18" i="4"/>
  <c r="V18" i="4" s="1"/>
  <c r="T19" i="4"/>
  <c r="U19" i="4" s="1"/>
  <c r="V19" i="4" s="1"/>
  <c r="T20" i="4"/>
  <c r="U20" i="4"/>
  <c r="V20" i="4" s="1"/>
  <c r="T21" i="4"/>
  <c r="U21" i="4" s="1"/>
  <c r="V21" i="4" s="1"/>
  <c r="T22" i="4"/>
  <c r="U22" i="4"/>
  <c r="V22" i="4" s="1"/>
  <c r="T23" i="4"/>
  <c r="U23" i="4" s="1"/>
  <c r="V23" i="4" s="1"/>
  <c r="T24" i="4"/>
  <c r="U24" i="4"/>
  <c r="V24" i="4" s="1"/>
  <c r="T25" i="4"/>
  <c r="U25" i="4" s="1"/>
  <c r="V25" i="4" s="1"/>
  <c r="Q139" i="7"/>
  <c r="Q140" i="7" s="1"/>
  <c r="Q144" i="7"/>
  <c r="Q146" i="7" s="1"/>
  <c r="Q149" i="7" s="1"/>
  <c r="Q148" i="7" s="1"/>
  <c r="Q150" i="7"/>
  <c r="Q152" i="7" s="1"/>
  <c r="Q155" i="7" s="1"/>
  <c r="Q154" i="7" s="1"/>
  <c r="Q151" i="7"/>
  <c r="T214" i="4" l="1"/>
  <c r="R164" i="7"/>
  <c r="R167" i="7" s="1"/>
  <c r="R166" i="7" s="1"/>
  <c r="R278" i="7"/>
  <c r="R279" i="7" s="1"/>
  <c r="V88" i="4"/>
  <c r="T162" i="7" s="1"/>
  <c r="T278" i="7" s="1"/>
  <c r="T279" i="7" s="1"/>
  <c r="V79" i="4"/>
  <c r="T284" i="7"/>
  <c r="S144" i="8"/>
  <c r="R144" i="8"/>
  <c r="R142" i="8"/>
  <c r="T142" i="8"/>
  <c r="T11" i="8"/>
  <c r="S143" i="8"/>
  <c r="R284" i="7"/>
  <c r="T282" i="7"/>
  <c r="S227" i="7"/>
  <c r="S226" i="7" s="1"/>
  <c r="T139" i="7"/>
  <c r="T140" i="7" s="1"/>
  <c r="S140" i="7"/>
  <c r="S225" i="7"/>
  <c r="T225" i="7" s="1"/>
  <c r="T227" i="7" s="1"/>
  <c r="T226" i="7" s="1"/>
  <c r="R227" i="7"/>
  <c r="R226" i="7" s="1"/>
  <c r="T217" i="7"/>
  <c r="T218" i="7" s="1"/>
  <c r="S218" i="7"/>
  <c r="T199" i="7"/>
  <c r="T200" i="7" s="1"/>
  <c r="S200" i="7"/>
  <c r="S243" i="7"/>
  <c r="T243" i="7" s="1"/>
  <c r="T245" i="7" s="1"/>
  <c r="T244" i="7" s="1"/>
  <c r="S235" i="7"/>
  <c r="R236" i="7"/>
  <c r="R239" i="7" s="1"/>
  <c r="R238" i="7" s="1"/>
  <c r="V214" i="4"/>
  <c r="U214" i="4"/>
  <c r="T137" i="4"/>
  <c r="U83" i="4"/>
  <c r="V111" i="4"/>
  <c r="V83" i="4" s="1"/>
  <c r="V127" i="4"/>
  <c r="V99" i="4" s="1"/>
  <c r="U99" i="4"/>
  <c r="V123" i="4"/>
  <c r="V95" i="4" s="1"/>
  <c r="U95" i="4"/>
  <c r="U91" i="4"/>
  <c r="V119" i="4"/>
  <c r="V91" i="4" s="1"/>
  <c r="V131" i="4"/>
  <c r="V103" i="4" s="1"/>
  <c r="U103" i="4"/>
  <c r="V115" i="4"/>
  <c r="V87" i="4" s="1"/>
  <c r="U87" i="4"/>
  <c r="U100" i="4"/>
  <c r="U104" i="4"/>
  <c r="T103" i="4"/>
  <c r="T99" i="4"/>
  <c r="U96" i="4"/>
  <c r="T95" i="4"/>
  <c r="U92" i="4"/>
  <c r="T91" i="4"/>
  <c r="U88" i="4"/>
  <c r="S162" i="7" s="1"/>
  <c r="T87" i="4"/>
  <c r="U84" i="4"/>
  <c r="T83" i="4"/>
  <c r="V3" i="4"/>
  <c r="V26" i="4" s="1"/>
  <c r="U26" i="4"/>
  <c r="T26" i="4"/>
  <c r="S164" i="7" l="1"/>
  <c r="S167" i="7" s="1"/>
  <c r="S278" i="7"/>
  <c r="T164" i="7"/>
  <c r="T167" i="7" s="1"/>
  <c r="T143" i="8"/>
  <c r="R143" i="8"/>
  <c r="S245" i="7"/>
  <c r="S244" i="7" s="1"/>
  <c r="T235" i="7"/>
  <c r="T236" i="7" s="1"/>
  <c r="T239" i="7" s="1"/>
  <c r="T238" i="7" s="1"/>
  <c r="S236" i="7"/>
  <c r="S239" i="7" s="1"/>
  <c r="S238" i="7" s="1"/>
  <c r="I144" i="4"/>
  <c r="J144" i="4"/>
  <c r="K144" i="4"/>
  <c r="L144" i="4"/>
  <c r="M144" i="4"/>
  <c r="N144" i="4"/>
  <c r="O144" i="4"/>
  <c r="P144" i="4"/>
  <c r="Q144" i="4"/>
  <c r="R144" i="4"/>
  <c r="S144" i="4"/>
  <c r="H144" i="4"/>
  <c r="I153" i="4"/>
  <c r="J153" i="4"/>
  <c r="K153" i="4"/>
  <c r="L153" i="4"/>
  <c r="M153" i="4"/>
  <c r="N153" i="4"/>
  <c r="O153" i="4"/>
  <c r="P153" i="4"/>
  <c r="Q153" i="4"/>
  <c r="R153" i="4"/>
  <c r="S153" i="4"/>
  <c r="H153" i="4"/>
  <c r="T166" i="7" l="1"/>
  <c r="S279" i="7"/>
  <c r="S284" i="7"/>
  <c r="S166" i="7"/>
  <c r="I170" i="4"/>
  <c r="I137" i="4" l="1"/>
  <c r="J137" i="4"/>
  <c r="K137" i="4"/>
  <c r="L137" i="4"/>
  <c r="M137" i="4"/>
  <c r="N137" i="4"/>
  <c r="O137" i="4"/>
  <c r="P137" i="4"/>
  <c r="Q137" i="4"/>
  <c r="R137" i="4"/>
  <c r="S137" i="4"/>
  <c r="H137" i="4"/>
  <c r="I165" i="4"/>
  <c r="F217" i="7" l="1"/>
  <c r="G217" i="7" s="1"/>
  <c r="H217" i="7" s="1"/>
  <c r="I217" i="7" s="1"/>
  <c r="J217" i="7" s="1"/>
  <c r="K217" i="7" s="1"/>
  <c r="L217" i="7" s="1"/>
  <c r="M217" i="7" s="1"/>
  <c r="N217" i="7" s="1"/>
  <c r="O217" i="7" s="1"/>
  <c r="P217" i="7" s="1"/>
  <c r="Q217" i="7" s="1"/>
  <c r="F199" i="7"/>
  <c r="F82" i="8"/>
  <c r="G82" i="8" s="1"/>
  <c r="H82" i="8" s="1"/>
  <c r="I82" i="8" s="1"/>
  <c r="J82" i="8" s="1"/>
  <c r="K82" i="8" s="1"/>
  <c r="L82" i="8" s="1"/>
  <c r="M82" i="8" s="1"/>
  <c r="N82" i="8" s="1"/>
  <c r="O82" i="8" s="1"/>
  <c r="P82" i="8" s="1"/>
  <c r="Q82" i="8" s="1"/>
  <c r="R82" i="8" s="1"/>
  <c r="D101" i="7"/>
  <c r="E101" i="7"/>
  <c r="D65" i="7"/>
  <c r="E77" i="7"/>
  <c r="D77" i="7"/>
  <c r="E54" i="7"/>
  <c r="D54" i="7"/>
  <c r="E53" i="7"/>
  <c r="D53" i="7"/>
  <c r="E48" i="7"/>
  <c r="D48" i="7"/>
  <c r="E47" i="7"/>
  <c r="D47" i="7"/>
  <c r="F100" i="4"/>
  <c r="G100" i="4"/>
  <c r="G89" i="4"/>
  <c r="F89" i="4"/>
  <c r="G90" i="4"/>
  <c r="F90" i="4"/>
  <c r="F83" i="4"/>
  <c r="S82" i="8" l="1"/>
  <c r="R83" i="8"/>
  <c r="R86" i="8" s="1"/>
  <c r="R85" i="8" s="1"/>
  <c r="Q169" i="4"/>
  <c r="R169" i="4"/>
  <c r="S169" i="4" s="1"/>
  <c r="P169" i="4"/>
  <c r="Q34" i="4"/>
  <c r="R34" i="4" s="1"/>
  <c r="S34" i="4" s="1"/>
  <c r="P34" i="4"/>
  <c r="S83" i="8" l="1"/>
  <c r="S86" i="8" s="1"/>
  <c r="S85" i="8" s="1"/>
  <c r="T82" i="8"/>
  <c r="T83" i="8" s="1"/>
  <c r="T86" i="8" s="1"/>
  <c r="T85" i="8" s="1"/>
  <c r="E147" i="8"/>
  <c r="D147" i="8"/>
  <c r="E283" i="7"/>
  <c r="D283" i="7"/>
  <c r="D145" i="8" l="1"/>
  <c r="D146" i="8" s="1"/>
  <c r="E135" i="8"/>
  <c r="F135" i="8"/>
  <c r="G135" i="8"/>
  <c r="H135" i="8"/>
  <c r="I135" i="8"/>
  <c r="J135" i="8"/>
  <c r="D135" i="8"/>
  <c r="E129" i="8"/>
  <c r="E131" i="8" s="1"/>
  <c r="E134" i="8" s="1"/>
  <c r="E133" i="8" s="1"/>
  <c r="D129" i="8"/>
  <c r="D131" i="8" s="1"/>
  <c r="D134" i="8" s="1"/>
  <c r="D133" i="8" s="1"/>
  <c r="C129" i="8"/>
  <c r="C131" i="8" s="1"/>
  <c r="C134" i="8" s="1"/>
  <c r="C133" i="8" s="1"/>
  <c r="G272" i="7"/>
  <c r="G275" i="7" s="1"/>
  <c r="G274" i="7" s="1"/>
  <c r="J272" i="7"/>
  <c r="J275" i="7" s="1"/>
  <c r="J274" i="7" s="1"/>
  <c r="I272" i="7"/>
  <c r="I275" i="7" s="1"/>
  <c r="I274" i="7" s="1"/>
  <c r="H272" i="7"/>
  <c r="H275" i="7" s="1"/>
  <c r="H274" i="7" s="1"/>
  <c r="F272" i="7"/>
  <c r="F275" i="7" s="1"/>
  <c r="F274" i="7" s="1"/>
  <c r="E272" i="7"/>
  <c r="E275" i="7" s="1"/>
  <c r="E274" i="7" s="1"/>
  <c r="D272" i="7"/>
  <c r="D275" i="7" s="1"/>
  <c r="D274" i="7" s="1"/>
  <c r="C270" i="7"/>
  <c r="C272" i="7" s="1"/>
  <c r="H195" i="4"/>
  <c r="H60" i="4"/>
  <c r="I7" i="4"/>
  <c r="J7" i="4" s="1"/>
  <c r="K7" i="4" s="1"/>
  <c r="L7" i="4" s="1"/>
  <c r="M7" i="4" s="1"/>
  <c r="N7" i="4" s="1"/>
  <c r="O7" i="4" s="1"/>
  <c r="P7" i="4" s="1"/>
  <c r="Q7" i="4" s="1"/>
  <c r="R7" i="4" s="1"/>
  <c r="S7" i="4" s="1"/>
  <c r="S60" i="4" s="1"/>
  <c r="G7" i="4"/>
  <c r="F7" i="4" s="1"/>
  <c r="F60" i="4" s="1"/>
  <c r="M195" i="4" l="1"/>
  <c r="M141" i="4" s="1"/>
  <c r="K135" i="8" s="1"/>
  <c r="P195" i="4"/>
  <c r="L195" i="4"/>
  <c r="S195" i="4"/>
  <c r="O195" i="4"/>
  <c r="K195" i="4"/>
  <c r="G195" i="4"/>
  <c r="Q195" i="4"/>
  <c r="I195" i="4"/>
  <c r="R195" i="4"/>
  <c r="N195" i="4"/>
  <c r="J195" i="4"/>
  <c r="F195" i="4"/>
  <c r="Q60" i="4"/>
  <c r="M60" i="4"/>
  <c r="I60" i="4"/>
  <c r="R60" i="4"/>
  <c r="N60" i="4"/>
  <c r="J60" i="4"/>
  <c r="P60" i="4"/>
  <c r="L60" i="4"/>
  <c r="O60" i="4"/>
  <c r="K60" i="4"/>
  <c r="G60" i="4"/>
  <c r="I4" i="4" l="1"/>
  <c r="J4" i="4" s="1"/>
  <c r="K4" i="4" s="1"/>
  <c r="L4" i="4" s="1"/>
  <c r="M4" i="4" s="1"/>
  <c r="N4" i="4" s="1"/>
  <c r="O4" i="4" s="1"/>
  <c r="P4" i="4" s="1"/>
  <c r="Q4" i="4" s="1"/>
  <c r="R4" i="4" s="1"/>
  <c r="S4" i="4" s="1"/>
  <c r="I5" i="4"/>
  <c r="J5" i="4" s="1"/>
  <c r="K5" i="4" s="1"/>
  <c r="L5" i="4" s="1"/>
  <c r="M5" i="4" s="1"/>
  <c r="N5" i="4" s="1"/>
  <c r="O5" i="4" s="1"/>
  <c r="P5" i="4" s="1"/>
  <c r="Q5" i="4" s="1"/>
  <c r="R5" i="4" s="1"/>
  <c r="S5" i="4" s="1"/>
  <c r="I6" i="4"/>
  <c r="J6" i="4"/>
  <c r="K6" i="4" s="1"/>
  <c r="L6" i="4" s="1"/>
  <c r="M6" i="4" s="1"/>
  <c r="N6" i="4" s="1"/>
  <c r="O6" i="4" s="1"/>
  <c r="P6" i="4" s="1"/>
  <c r="Q6" i="4" s="1"/>
  <c r="R6" i="4" s="1"/>
  <c r="S6" i="4" s="1"/>
  <c r="I8" i="4"/>
  <c r="J8" i="4" s="1"/>
  <c r="K8" i="4" s="1"/>
  <c r="L8" i="4" s="1"/>
  <c r="M8" i="4" s="1"/>
  <c r="N8" i="4" s="1"/>
  <c r="O8" i="4" s="1"/>
  <c r="P8" i="4" s="1"/>
  <c r="Q8" i="4" s="1"/>
  <c r="R8" i="4" s="1"/>
  <c r="S8" i="4" s="1"/>
  <c r="I9" i="4"/>
  <c r="J9" i="4" s="1"/>
  <c r="K9" i="4" s="1"/>
  <c r="L9" i="4" s="1"/>
  <c r="M9" i="4" s="1"/>
  <c r="N9" i="4" s="1"/>
  <c r="O9" i="4" s="1"/>
  <c r="P9" i="4" s="1"/>
  <c r="Q9" i="4" s="1"/>
  <c r="R9" i="4" s="1"/>
  <c r="S9" i="4" s="1"/>
  <c r="I10" i="4"/>
  <c r="J10" i="4" s="1"/>
  <c r="K10" i="4" s="1"/>
  <c r="L10" i="4" s="1"/>
  <c r="M10" i="4" s="1"/>
  <c r="N10" i="4" s="1"/>
  <c r="O10" i="4" s="1"/>
  <c r="P10" i="4" s="1"/>
  <c r="Q10" i="4" s="1"/>
  <c r="R10" i="4" s="1"/>
  <c r="S10" i="4" s="1"/>
  <c r="I11" i="4"/>
  <c r="J11" i="4" s="1"/>
  <c r="K11" i="4" s="1"/>
  <c r="L11" i="4" s="1"/>
  <c r="M11" i="4" s="1"/>
  <c r="N11" i="4" s="1"/>
  <c r="O11" i="4" s="1"/>
  <c r="P11" i="4" s="1"/>
  <c r="Q11" i="4" s="1"/>
  <c r="R11" i="4" s="1"/>
  <c r="S11" i="4" s="1"/>
  <c r="I12" i="4"/>
  <c r="J12" i="4" s="1"/>
  <c r="K12" i="4" s="1"/>
  <c r="L12" i="4" s="1"/>
  <c r="M12" i="4" s="1"/>
  <c r="N12" i="4" s="1"/>
  <c r="O12" i="4" s="1"/>
  <c r="P12" i="4" s="1"/>
  <c r="Q12" i="4" s="1"/>
  <c r="R12" i="4" s="1"/>
  <c r="S12" i="4" s="1"/>
  <c r="I13" i="4"/>
  <c r="J13" i="4" s="1"/>
  <c r="K13" i="4" s="1"/>
  <c r="L13" i="4" s="1"/>
  <c r="M13" i="4" s="1"/>
  <c r="N13" i="4" s="1"/>
  <c r="O13" i="4" s="1"/>
  <c r="P13" i="4" s="1"/>
  <c r="Q13" i="4" s="1"/>
  <c r="R13" i="4" s="1"/>
  <c r="S13" i="4" s="1"/>
  <c r="I14" i="4"/>
  <c r="J14" i="4" s="1"/>
  <c r="K14" i="4" s="1"/>
  <c r="L14" i="4" s="1"/>
  <c r="M14" i="4" s="1"/>
  <c r="N14" i="4" s="1"/>
  <c r="O14" i="4" s="1"/>
  <c r="P14" i="4" s="1"/>
  <c r="Q14" i="4" s="1"/>
  <c r="R14" i="4" s="1"/>
  <c r="S14" i="4" s="1"/>
  <c r="I15" i="4"/>
  <c r="J15" i="4" s="1"/>
  <c r="K15" i="4" s="1"/>
  <c r="L15" i="4" s="1"/>
  <c r="M15" i="4" s="1"/>
  <c r="N15" i="4" s="1"/>
  <c r="O15" i="4" s="1"/>
  <c r="P15" i="4" s="1"/>
  <c r="Q15" i="4" s="1"/>
  <c r="R15" i="4" s="1"/>
  <c r="S15" i="4" s="1"/>
  <c r="I16" i="4"/>
  <c r="J16" i="4" s="1"/>
  <c r="K16" i="4" s="1"/>
  <c r="L16" i="4" s="1"/>
  <c r="M16" i="4" s="1"/>
  <c r="N16" i="4" s="1"/>
  <c r="O16" i="4" s="1"/>
  <c r="P16" i="4" s="1"/>
  <c r="Q16" i="4" s="1"/>
  <c r="R16" i="4" s="1"/>
  <c r="S16" i="4" s="1"/>
  <c r="I17" i="4"/>
  <c r="J17" i="4" s="1"/>
  <c r="K17" i="4" s="1"/>
  <c r="L17" i="4" s="1"/>
  <c r="M17" i="4" s="1"/>
  <c r="N17" i="4" s="1"/>
  <c r="O17" i="4" s="1"/>
  <c r="P17" i="4" s="1"/>
  <c r="Q17" i="4" s="1"/>
  <c r="R17" i="4" s="1"/>
  <c r="S17" i="4" s="1"/>
  <c r="I18" i="4"/>
  <c r="J18" i="4" s="1"/>
  <c r="K18" i="4" s="1"/>
  <c r="L18" i="4" s="1"/>
  <c r="M18" i="4" s="1"/>
  <c r="N18" i="4" s="1"/>
  <c r="O18" i="4" s="1"/>
  <c r="P18" i="4" s="1"/>
  <c r="Q18" i="4" s="1"/>
  <c r="R18" i="4" s="1"/>
  <c r="S18" i="4" s="1"/>
  <c r="I19" i="4"/>
  <c r="J19" i="4" s="1"/>
  <c r="K19" i="4" s="1"/>
  <c r="L19" i="4" s="1"/>
  <c r="M19" i="4" s="1"/>
  <c r="N19" i="4" s="1"/>
  <c r="O19" i="4" s="1"/>
  <c r="P19" i="4" s="1"/>
  <c r="Q19" i="4" s="1"/>
  <c r="R19" i="4" s="1"/>
  <c r="S19" i="4" s="1"/>
  <c r="I20" i="4"/>
  <c r="J20" i="4" s="1"/>
  <c r="K20" i="4" s="1"/>
  <c r="L20" i="4" s="1"/>
  <c r="M20" i="4" s="1"/>
  <c r="N20" i="4" s="1"/>
  <c r="O20" i="4" s="1"/>
  <c r="P20" i="4" s="1"/>
  <c r="Q20" i="4" s="1"/>
  <c r="R20" i="4" s="1"/>
  <c r="S20" i="4" s="1"/>
  <c r="I21" i="4"/>
  <c r="J21" i="4" s="1"/>
  <c r="K21" i="4" s="1"/>
  <c r="L21" i="4" s="1"/>
  <c r="M21" i="4" s="1"/>
  <c r="N21" i="4" s="1"/>
  <c r="O21" i="4" s="1"/>
  <c r="P21" i="4" s="1"/>
  <c r="Q21" i="4" s="1"/>
  <c r="R21" i="4" s="1"/>
  <c r="S21" i="4" s="1"/>
  <c r="I22" i="4"/>
  <c r="J22" i="4" s="1"/>
  <c r="K22" i="4" s="1"/>
  <c r="L22" i="4" s="1"/>
  <c r="M22" i="4" s="1"/>
  <c r="N22" i="4" s="1"/>
  <c r="O22" i="4" s="1"/>
  <c r="P22" i="4" s="1"/>
  <c r="Q22" i="4" s="1"/>
  <c r="R22" i="4" s="1"/>
  <c r="S22" i="4" s="1"/>
  <c r="I23" i="4"/>
  <c r="J23" i="4" s="1"/>
  <c r="K23" i="4" s="1"/>
  <c r="L23" i="4" s="1"/>
  <c r="M23" i="4" s="1"/>
  <c r="N23" i="4" s="1"/>
  <c r="O23" i="4" s="1"/>
  <c r="P23" i="4" s="1"/>
  <c r="Q23" i="4" s="1"/>
  <c r="R23" i="4" s="1"/>
  <c r="S23" i="4" s="1"/>
  <c r="I24" i="4"/>
  <c r="J24" i="4" s="1"/>
  <c r="K24" i="4" s="1"/>
  <c r="L24" i="4" s="1"/>
  <c r="M24" i="4" s="1"/>
  <c r="N24" i="4" s="1"/>
  <c r="O24" i="4" s="1"/>
  <c r="P24" i="4" s="1"/>
  <c r="Q24" i="4" s="1"/>
  <c r="R24" i="4" s="1"/>
  <c r="S24" i="4" s="1"/>
  <c r="I25" i="4"/>
  <c r="J25" i="4" s="1"/>
  <c r="K25" i="4" s="1"/>
  <c r="L25" i="4" s="1"/>
  <c r="M25" i="4" s="1"/>
  <c r="N25" i="4" s="1"/>
  <c r="O25" i="4" s="1"/>
  <c r="P25" i="4" s="1"/>
  <c r="Q25" i="4" s="1"/>
  <c r="R25" i="4" s="1"/>
  <c r="S25" i="4" s="1"/>
  <c r="I3" i="4"/>
  <c r="J3" i="4" s="1"/>
  <c r="K3" i="4" s="1"/>
  <c r="L3" i="4" s="1"/>
  <c r="M3" i="4" s="1"/>
  <c r="N3" i="4" s="1"/>
  <c r="O3" i="4" s="1"/>
  <c r="P3" i="4" s="1"/>
  <c r="Q3" i="4" s="1"/>
  <c r="R3" i="4" s="1"/>
  <c r="S3" i="4" s="1"/>
  <c r="E19" i="2"/>
  <c r="F19" i="2"/>
  <c r="Q157" i="7" l="1"/>
  <c r="G4" i="4"/>
  <c r="F4" i="4" s="1"/>
  <c r="G5" i="4"/>
  <c r="F5" i="4" s="1"/>
  <c r="G6" i="4"/>
  <c r="F6" i="4" s="1"/>
  <c r="G8" i="4"/>
  <c r="F8" i="4" s="1"/>
  <c r="G9" i="4"/>
  <c r="F9" i="4" s="1"/>
  <c r="G10" i="4"/>
  <c r="F10" i="4" s="1"/>
  <c r="G11" i="4"/>
  <c r="F11" i="4" s="1"/>
  <c r="G12" i="4"/>
  <c r="F12" i="4" s="1"/>
  <c r="G13" i="4"/>
  <c r="F13" i="4" s="1"/>
  <c r="G14" i="4"/>
  <c r="F14" i="4" s="1"/>
  <c r="G15" i="4"/>
  <c r="F15" i="4" s="1"/>
  <c r="G16" i="4"/>
  <c r="F16" i="4" s="1"/>
  <c r="G17" i="4"/>
  <c r="F17" i="4" s="1"/>
  <c r="G18" i="4"/>
  <c r="F18" i="4" s="1"/>
  <c r="G19" i="4"/>
  <c r="F19" i="4" s="1"/>
  <c r="G20" i="4"/>
  <c r="F20" i="4" s="1"/>
  <c r="G21" i="4"/>
  <c r="F21" i="4" s="1"/>
  <c r="G22" i="4"/>
  <c r="F22" i="4" s="1"/>
  <c r="G23" i="4"/>
  <c r="F23" i="4" s="1"/>
  <c r="G24" i="4"/>
  <c r="F24" i="4" s="1"/>
  <c r="G25" i="4"/>
  <c r="F25" i="4" s="1"/>
  <c r="G3" i="4"/>
  <c r="F3" i="4" s="1"/>
  <c r="D102" i="7" l="1"/>
  <c r="F106" i="8" l="1"/>
  <c r="G106" i="8" s="1"/>
  <c r="H106" i="8" s="1"/>
  <c r="I106" i="8" s="1"/>
  <c r="J106" i="8" s="1"/>
  <c r="K106" i="8" s="1"/>
  <c r="L106" i="8" s="1"/>
  <c r="M106" i="8" s="1"/>
  <c r="N106" i="8" s="1"/>
  <c r="O106" i="8" s="1"/>
  <c r="P106" i="8" s="1"/>
  <c r="Q106" i="8" s="1"/>
  <c r="R106" i="8" s="1"/>
  <c r="E105" i="8"/>
  <c r="E107" i="8" s="1"/>
  <c r="E110" i="8" s="1"/>
  <c r="E109" i="8" s="1"/>
  <c r="D105" i="8"/>
  <c r="D107" i="8" s="1"/>
  <c r="D110" i="8" s="1"/>
  <c r="D109" i="8" s="1"/>
  <c r="F100" i="8"/>
  <c r="G100" i="8" s="1"/>
  <c r="E99" i="8"/>
  <c r="E101" i="8" s="1"/>
  <c r="E104" i="8" s="1"/>
  <c r="E103" i="8" s="1"/>
  <c r="D99" i="8"/>
  <c r="D101" i="8" s="1"/>
  <c r="D104" i="8" s="1"/>
  <c r="D103" i="8" s="1"/>
  <c r="F94" i="8"/>
  <c r="G94" i="8" s="1"/>
  <c r="H94" i="8" s="1"/>
  <c r="E93" i="8"/>
  <c r="E95" i="8" s="1"/>
  <c r="E98" i="8" s="1"/>
  <c r="E97" i="8" s="1"/>
  <c r="D93" i="8"/>
  <c r="D95" i="8" s="1"/>
  <c r="D98" i="8" s="1"/>
  <c r="D97" i="8" s="1"/>
  <c r="S106" i="8" l="1"/>
  <c r="R107" i="8"/>
  <c r="R110" i="8" s="1"/>
  <c r="R109" i="8" s="1"/>
  <c r="H100" i="8"/>
  <c r="I94" i="8"/>
  <c r="J94" i="8" s="1"/>
  <c r="K94" i="8" s="1"/>
  <c r="L94" i="8" s="1"/>
  <c r="F88" i="8"/>
  <c r="E87" i="8"/>
  <c r="D87" i="8"/>
  <c r="E64" i="8"/>
  <c r="F64" i="8" s="1"/>
  <c r="G64" i="8" s="1"/>
  <c r="H64" i="8" s="1"/>
  <c r="I64" i="8" s="1"/>
  <c r="J64" i="8" s="1"/>
  <c r="K64" i="8" s="1"/>
  <c r="L64" i="8" s="1"/>
  <c r="M64" i="8" s="1"/>
  <c r="N64" i="8" s="1"/>
  <c r="O64" i="8" s="1"/>
  <c r="P64" i="8" s="1"/>
  <c r="Q64" i="8" s="1"/>
  <c r="R64" i="8" s="1"/>
  <c r="E58" i="8"/>
  <c r="F54" i="8"/>
  <c r="G54" i="8" s="1"/>
  <c r="H54" i="8" s="1"/>
  <c r="I54" i="8" s="1"/>
  <c r="J54" i="8" s="1"/>
  <c r="K54" i="8" s="1"/>
  <c r="L54" i="8" s="1"/>
  <c r="M54" i="8" s="1"/>
  <c r="N54" i="8" s="1"/>
  <c r="O54" i="8" s="1"/>
  <c r="P54" i="8" s="1"/>
  <c r="Q54" i="8" s="1"/>
  <c r="R54" i="8" s="1"/>
  <c r="S54" i="8" s="1"/>
  <c r="T54" i="8" s="1"/>
  <c r="F52" i="8"/>
  <c r="G52" i="8" s="1"/>
  <c r="H52" i="8" s="1"/>
  <c r="I52" i="8" s="1"/>
  <c r="J52" i="8" s="1"/>
  <c r="K52" i="8" s="1"/>
  <c r="L52" i="8" s="1"/>
  <c r="M52" i="8" s="1"/>
  <c r="N52" i="8" s="1"/>
  <c r="O52" i="8" s="1"/>
  <c r="P52" i="8" s="1"/>
  <c r="Q52" i="8" s="1"/>
  <c r="R52" i="8" s="1"/>
  <c r="F24" i="8"/>
  <c r="F16" i="8"/>
  <c r="G16" i="8" s="1"/>
  <c r="H16" i="8" s="1"/>
  <c r="I16" i="8" s="1"/>
  <c r="J16" i="8" s="1"/>
  <c r="K16" i="8" s="1"/>
  <c r="L16" i="8" s="1"/>
  <c r="M16" i="8" s="1"/>
  <c r="N16" i="8" s="1"/>
  <c r="O16" i="8" s="1"/>
  <c r="P16" i="8" s="1"/>
  <c r="Q16" i="8" s="1"/>
  <c r="R16" i="8" s="1"/>
  <c r="G4" i="8"/>
  <c r="F4" i="8"/>
  <c r="G241" i="7"/>
  <c r="H241" i="7" s="1"/>
  <c r="I241" i="7" s="1"/>
  <c r="J241" i="7" s="1"/>
  <c r="K241" i="7" s="1"/>
  <c r="F241" i="7"/>
  <c r="E240" i="7"/>
  <c r="E242" i="7" s="1"/>
  <c r="D240" i="7"/>
  <c r="D242" i="7" s="1"/>
  <c r="F235" i="7"/>
  <c r="E228" i="7"/>
  <c r="E230" i="7" s="1"/>
  <c r="D228" i="7"/>
  <c r="D230" i="7" s="1"/>
  <c r="E222" i="7"/>
  <c r="E224" i="7" s="1"/>
  <c r="D222" i="7"/>
  <c r="D224" i="7" s="1"/>
  <c r="F163" i="7"/>
  <c r="G163" i="7" s="1"/>
  <c r="H163" i="7" s="1"/>
  <c r="I163" i="7" s="1"/>
  <c r="J163" i="7" s="1"/>
  <c r="K163" i="7" s="1"/>
  <c r="L163" i="7" s="1"/>
  <c r="M163" i="7" s="1"/>
  <c r="N163" i="7" s="1"/>
  <c r="O163" i="7" s="1"/>
  <c r="P163" i="7" s="1"/>
  <c r="Q163" i="7" s="1"/>
  <c r="G157" i="7"/>
  <c r="H157" i="7"/>
  <c r="I157" i="7"/>
  <c r="J157" i="7"/>
  <c r="K157" i="7"/>
  <c r="L157" i="7"/>
  <c r="M157" i="7"/>
  <c r="N157" i="7"/>
  <c r="O157" i="7"/>
  <c r="P157" i="7"/>
  <c r="F157" i="7"/>
  <c r="E151" i="7"/>
  <c r="E281" i="7" s="1"/>
  <c r="E282" i="7" s="1"/>
  <c r="D151" i="7"/>
  <c r="D281" i="7" s="1"/>
  <c r="D282" i="7" s="1"/>
  <c r="E131" i="7"/>
  <c r="D131" i="7"/>
  <c r="E125" i="7"/>
  <c r="D125" i="7"/>
  <c r="E119" i="7"/>
  <c r="D119" i="7"/>
  <c r="E113" i="7"/>
  <c r="E107" i="7"/>
  <c r="D107" i="7"/>
  <c r="E102" i="7"/>
  <c r="E95" i="7"/>
  <c r="D95" i="7"/>
  <c r="E89" i="7"/>
  <c r="D89" i="7"/>
  <c r="E83" i="7"/>
  <c r="D83" i="7"/>
  <c r="E71" i="7"/>
  <c r="D71" i="7"/>
  <c r="E65" i="7"/>
  <c r="E59" i="7"/>
  <c r="E61" i="7" s="1"/>
  <c r="E62" i="7" s="1"/>
  <c r="D59" i="7"/>
  <c r="D61" i="7" s="1"/>
  <c r="D62" i="7" s="1"/>
  <c r="E41" i="7"/>
  <c r="D41" i="7"/>
  <c r="E35" i="7"/>
  <c r="D35" i="7"/>
  <c r="E29" i="7"/>
  <c r="D29" i="7"/>
  <c r="E30" i="7"/>
  <c r="D30" i="7"/>
  <c r="E23" i="7"/>
  <c r="D23" i="7"/>
  <c r="E17" i="7"/>
  <c r="D17" i="7"/>
  <c r="E11" i="7"/>
  <c r="D11" i="7"/>
  <c r="E5" i="7"/>
  <c r="D5" i="7"/>
  <c r="S64" i="8" l="1"/>
  <c r="R65" i="8"/>
  <c r="S16" i="8"/>
  <c r="R17" i="8"/>
  <c r="E145" i="8"/>
  <c r="E146" i="8" s="1"/>
  <c r="E89" i="8"/>
  <c r="E92" i="8" s="1"/>
  <c r="E91" i="8" s="1"/>
  <c r="E144" i="8"/>
  <c r="G88" i="8"/>
  <c r="F147" i="8"/>
  <c r="D89" i="8"/>
  <c r="D92" i="8" s="1"/>
  <c r="D91" i="8" s="1"/>
  <c r="D144" i="8"/>
  <c r="S52" i="8"/>
  <c r="R53" i="8"/>
  <c r="R56" i="8" s="1"/>
  <c r="R55" i="8" s="1"/>
  <c r="T106" i="8"/>
  <c r="T107" i="8" s="1"/>
  <c r="T110" i="8" s="1"/>
  <c r="T109" i="8" s="1"/>
  <c r="S107" i="8"/>
  <c r="S110" i="8" s="1"/>
  <c r="S109" i="8" s="1"/>
  <c r="G235" i="7"/>
  <c r="F283" i="7"/>
  <c r="F58" i="8"/>
  <c r="G58" i="8" s="1"/>
  <c r="G145" i="8" s="1"/>
  <c r="M94" i="8"/>
  <c r="H4" i="8"/>
  <c r="I100" i="8"/>
  <c r="F151" i="7"/>
  <c r="G151" i="7" s="1"/>
  <c r="H151" i="7" s="1"/>
  <c r="I151" i="7" s="1"/>
  <c r="J151" i="7" s="1"/>
  <c r="K151" i="7" s="1"/>
  <c r="L151" i="7" s="1"/>
  <c r="M151" i="7" s="1"/>
  <c r="N151" i="7" s="1"/>
  <c r="O151" i="7" s="1"/>
  <c r="P151" i="7" s="1"/>
  <c r="L241" i="7"/>
  <c r="M241" i="7" s="1"/>
  <c r="N241" i="7" s="1"/>
  <c r="O241" i="7" s="1"/>
  <c r="E153" i="7"/>
  <c r="H58" i="8"/>
  <c r="I58" i="8" s="1"/>
  <c r="E109" i="7"/>
  <c r="E110" i="7" s="1"/>
  <c r="E243" i="7" s="1"/>
  <c r="E245" i="7" s="1"/>
  <c r="E244" i="7" s="1"/>
  <c r="D109" i="7"/>
  <c r="D110" i="7" s="1"/>
  <c r="D243" i="7" s="1"/>
  <c r="D245" i="7" s="1"/>
  <c r="D244" i="7" s="1"/>
  <c r="C109" i="7"/>
  <c r="C110" i="7" s="1"/>
  <c r="E103" i="7"/>
  <c r="E104" i="7" s="1"/>
  <c r="E237" i="7" s="1"/>
  <c r="D103" i="7"/>
  <c r="D104" i="7" s="1"/>
  <c r="D237" i="7" s="1"/>
  <c r="C103" i="7"/>
  <c r="C104" i="7" s="1"/>
  <c r="E91" i="7"/>
  <c r="E92" i="7" s="1"/>
  <c r="D91" i="7"/>
  <c r="D92" i="7" s="1"/>
  <c r="D225" i="7" s="1"/>
  <c r="D227" i="7" s="1"/>
  <c r="D226" i="7" s="1"/>
  <c r="E97" i="7"/>
  <c r="E98" i="7" s="1"/>
  <c r="E231" i="7" s="1"/>
  <c r="D97" i="7"/>
  <c r="D98" i="7" s="1"/>
  <c r="D231" i="7" s="1"/>
  <c r="D233" i="7" s="1"/>
  <c r="D232" i="7" s="1"/>
  <c r="E133" i="7"/>
  <c r="E134" i="7" s="1"/>
  <c r="D133" i="7"/>
  <c r="D134" i="7" s="1"/>
  <c r="E127" i="7"/>
  <c r="E128" i="7" s="1"/>
  <c r="E261" i="7" s="1"/>
  <c r="D127" i="7"/>
  <c r="D128" i="7" s="1"/>
  <c r="D261" i="7" s="1"/>
  <c r="E121" i="7"/>
  <c r="E122" i="7" s="1"/>
  <c r="E255" i="7" s="1"/>
  <c r="D121" i="7"/>
  <c r="D122" i="7" s="1"/>
  <c r="D255" i="7" s="1"/>
  <c r="E115" i="7"/>
  <c r="E116" i="7" s="1"/>
  <c r="E249" i="7" s="1"/>
  <c r="F249" i="7" s="1"/>
  <c r="G249" i="7" s="1"/>
  <c r="H249" i="7" s="1"/>
  <c r="I249" i="7" s="1"/>
  <c r="J249" i="7" s="1"/>
  <c r="K249" i="7" s="1"/>
  <c r="L249" i="7" s="1"/>
  <c r="M249" i="7" s="1"/>
  <c r="N249" i="7" s="1"/>
  <c r="O249" i="7" s="1"/>
  <c r="P249" i="7" s="1"/>
  <c r="Q249" i="7" s="1"/>
  <c r="R249" i="7" s="1"/>
  <c r="D115" i="7"/>
  <c r="D116" i="7" s="1"/>
  <c r="D249" i="7" s="1"/>
  <c r="E85" i="7"/>
  <c r="E86" i="7" s="1"/>
  <c r="E213" i="7" s="1"/>
  <c r="D85" i="7"/>
  <c r="D86" i="7" s="1"/>
  <c r="D213" i="7" s="1"/>
  <c r="E79" i="7"/>
  <c r="E80" i="7" s="1"/>
  <c r="E219" i="7" s="1"/>
  <c r="F219" i="7" s="1"/>
  <c r="G219" i="7" s="1"/>
  <c r="H219" i="7" s="1"/>
  <c r="I219" i="7" s="1"/>
  <c r="J219" i="7" s="1"/>
  <c r="K219" i="7" s="1"/>
  <c r="L219" i="7" s="1"/>
  <c r="M219" i="7" s="1"/>
  <c r="N219" i="7" s="1"/>
  <c r="O219" i="7" s="1"/>
  <c r="P219" i="7" s="1"/>
  <c r="Q219" i="7" s="1"/>
  <c r="R219" i="7" s="1"/>
  <c r="D79" i="7"/>
  <c r="D80" i="7" s="1"/>
  <c r="E73" i="7"/>
  <c r="E74" i="7" s="1"/>
  <c r="E147" i="7" s="1"/>
  <c r="D73" i="7"/>
  <c r="D74" i="7" s="1"/>
  <c r="E67" i="7"/>
  <c r="E68" i="7" s="1"/>
  <c r="D67" i="7"/>
  <c r="D68" i="7" s="1"/>
  <c r="D141" i="7" s="1"/>
  <c r="E55" i="7"/>
  <c r="E56" i="7" s="1"/>
  <c r="E171" i="7" s="1"/>
  <c r="D55" i="7"/>
  <c r="D56" i="7" s="1"/>
  <c r="E49" i="7"/>
  <c r="E50" i="7" s="1"/>
  <c r="E177" i="7" s="1"/>
  <c r="D49" i="7"/>
  <c r="D50" i="7" s="1"/>
  <c r="E43" i="7"/>
  <c r="E44" i="7" s="1"/>
  <c r="E183" i="7" s="1"/>
  <c r="D43" i="7"/>
  <c r="D44" i="7" s="1"/>
  <c r="E37" i="7"/>
  <c r="E38" i="7" s="1"/>
  <c r="E207" i="7" s="1"/>
  <c r="D37" i="7"/>
  <c r="D38" i="7" s="1"/>
  <c r="E31" i="7"/>
  <c r="E32" i="7" s="1"/>
  <c r="E195" i="7" s="1"/>
  <c r="D31" i="7"/>
  <c r="D32" i="7" s="1"/>
  <c r="E25" i="7"/>
  <c r="E26" i="7" s="1"/>
  <c r="E201" i="7" s="1"/>
  <c r="D25" i="7"/>
  <c r="D26" i="7" s="1"/>
  <c r="E19" i="7"/>
  <c r="E20" i="7" s="1"/>
  <c r="E165" i="7" s="1"/>
  <c r="D19" i="7"/>
  <c r="D20" i="7" s="1"/>
  <c r="E13" i="7"/>
  <c r="E14" i="7" s="1"/>
  <c r="E189" i="7" s="1"/>
  <c r="D13" i="7"/>
  <c r="D14" i="7" s="1"/>
  <c r="D7" i="7"/>
  <c r="D8" i="7" s="1"/>
  <c r="E7" i="7"/>
  <c r="E8" i="7" s="1"/>
  <c r="E159" i="7" s="1"/>
  <c r="D2" i="7"/>
  <c r="E2" i="7" s="1"/>
  <c r="G185" i="4"/>
  <c r="F207" i="4"/>
  <c r="G207" i="4"/>
  <c r="F206" i="4"/>
  <c r="F208" i="4"/>
  <c r="F209" i="4"/>
  <c r="G182" i="4"/>
  <c r="H182" i="4" s="1"/>
  <c r="G183" i="4"/>
  <c r="H183" i="4" s="1"/>
  <c r="I183" i="4" s="1"/>
  <c r="J183" i="4" s="1"/>
  <c r="K183" i="4" s="1"/>
  <c r="L183" i="4" s="1"/>
  <c r="M183" i="4" s="1"/>
  <c r="N183" i="4" s="1"/>
  <c r="O183" i="4" s="1"/>
  <c r="P183" i="4" s="1"/>
  <c r="Q183" i="4" s="1"/>
  <c r="R183" i="4" s="1"/>
  <c r="S183" i="4" s="1"/>
  <c r="G206" i="4"/>
  <c r="G181" i="4"/>
  <c r="H181" i="4" s="1"/>
  <c r="I181" i="4" s="1"/>
  <c r="J181" i="4" s="1"/>
  <c r="K181" i="4" s="1"/>
  <c r="L181" i="4" s="1"/>
  <c r="M181" i="4" s="1"/>
  <c r="N181" i="4" s="1"/>
  <c r="O181" i="4" s="1"/>
  <c r="P181" i="4" s="1"/>
  <c r="Q181" i="4" s="1"/>
  <c r="R181" i="4" s="1"/>
  <c r="S181" i="4" s="1"/>
  <c r="H150" i="4"/>
  <c r="F131" i="4"/>
  <c r="E234" i="7"/>
  <c r="G130" i="4"/>
  <c r="F130" i="4" s="1"/>
  <c r="G131" i="4"/>
  <c r="F74" i="4"/>
  <c r="F129" i="4" s="1"/>
  <c r="G74" i="4"/>
  <c r="G129" i="4" s="1"/>
  <c r="H129" i="4" s="1"/>
  <c r="H74" i="4"/>
  <c r="F73" i="4"/>
  <c r="G73" i="4"/>
  <c r="H73" i="4"/>
  <c r="F72" i="4"/>
  <c r="F127" i="4" s="1"/>
  <c r="F71" i="4"/>
  <c r="F126" i="4" s="1"/>
  <c r="T52" i="8" l="1"/>
  <c r="T53" i="8" s="1"/>
  <c r="T56" i="8" s="1"/>
  <c r="T55" i="8" s="1"/>
  <c r="S53" i="8"/>
  <c r="S56" i="8" s="1"/>
  <c r="S55" i="8" s="1"/>
  <c r="S17" i="8"/>
  <c r="T16" i="8"/>
  <c r="T17" i="8" s="1"/>
  <c r="F145" i="8"/>
  <c r="F146" i="8" s="1"/>
  <c r="G147" i="8"/>
  <c r="G146" i="8" s="1"/>
  <c r="H88" i="8"/>
  <c r="S65" i="8"/>
  <c r="T64" i="8"/>
  <c r="T65" i="8" s="1"/>
  <c r="S141" i="7"/>
  <c r="S143" i="7" s="1"/>
  <c r="T141" i="7"/>
  <c r="T143" i="7" s="1"/>
  <c r="Q141" i="7"/>
  <c r="Q143" i="7" s="1"/>
  <c r="Q142" i="7" s="1"/>
  <c r="R141" i="7"/>
  <c r="R143" i="7" s="1"/>
  <c r="S219" i="7"/>
  <c r="R221" i="7"/>
  <c r="R220" i="7" s="1"/>
  <c r="S249" i="7"/>
  <c r="R251" i="7"/>
  <c r="R250" i="7" s="1"/>
  <c r="T171" i="7"/>
  <c r="T173" i="7" s="1"/>
  <c r="T172" i="7" s="1"/>
  <c r="R171" i="7"/>
  <c r="R173" i="7" s="1"/>
  <c r="R172" i="7" s="1"/>
  <c r="S171" i="7"/>
  <c r="S173" i="7" s="1"/>
  <c r="S172" i="7" s="1"/>
  <c r="F225" i="7"/>
  <c r="G225" i="7" s="1"/>
  <c r="H225" i="7" s="1"/>
  <c r="I225" i="7" s="1"/>
  <c r="J225" i="7" s="1"/>
  <c r="E225" i="7"/>
  <c r="O141" i="7"/>
  <c r="J141" i="7"/>
  <c r="P141" i="7"/>
  <c r="K141" i="7"/>
  <c r="L141" i="7"/>
  <c r="M141" i="7"/>
  <c r="N141" i="7"/>
  <c r="L225" i="7"/>
  <c r="M225" i="7" s="1"/>
  <c r="N225" i="7" s="1"/>
  <c r="O225" i="7" s="1"/>
  <c r="P225" i="7" s="1"/>
  <c r="Q225" i="7" s="1"/>
  <c r="E233" i="7"/>
  <c r="E232" i="7" s="1"/>
  <c r="F231" i="7"/>
  <c r="H235" i="7"/>
  <c r="G283" i="7"/>
  <c r="Q171" i="7"/>
  <c r="E236" i="7"/>
  <c r="E239" i="7" s="1"/>
  <c r="E238" i="7" s="1"/>
  <c r="E280" i="7"/>
  <c r="G128" i="4"/>
  <c r="H128" i="4" s="1"/>
  <c r="H100" i="4" s="1"/>
  <c r="F234" i="7" s="1"/>
  <c r="G208" i="4"/>
  <c r="F128" i="4"/>
  <c r="D234" i="7" s="1"/>
  <c r="H101" i="4"/>
  <c r="F240" i="7" s="1"/>
  <c r="F242" i="7" s="1"/>
  <c r="J100" i="8"/>
  <c r="N94" i="8"/>
  <c r="I4" i="8"/>
  <c r="E141" i="7"/>
  <c r="F141" i="7" s="1"/>
  <c r="G141" i="7" s="1"/>
  <c r="I171" i="7"/>
  <c r="M171" i="7"/>
  <c r="F171" i="7"/>
  <c r="H171" i="7"/>
  <c r="J171" i="7"/>
  <c r="N171" i="7"/>
  <c r="G171" i="7"/>
  <c r="K171" i="7"/>
  <c r="O171" i="7"/>
  <c r="P171" i="7"/>
  <c r="L171" i="7"/>
  <c r="F213" i="7"/>
  <c r="G213" i="7" s="1"/>
  <c r="H213" i="7" s="1"/>
  <c r="I213" i="7" s="1"/>
  <c r="J213" i="7" s="1"/>
  <c r="K213" i="7" s="1"/>
  <c r="L213" i="7" s="1"/>
  <c r="M213" i="7" s="1"/>
  <c r="N213" i="7" s="1"/>
  <c r="O213" i="7" s="1"/>
  <c r="P213" i="7" s="1"/>
  <c r="Q213" i="7" s="1"/>
  <c r="R213" i="7" s="1"/>
  <c r="F255" i="7"/>
  <c r="G255" i="7" s="1"/>
  <c r="H255" i="7" s="1"/>
  <c r="I255" i="7" s="1"/>
  <c r="J255" i="7" s="1"/>
  <c r="K255" i="7" s="1"/>
  <c r="L255" i="7" s="1"/>
  <c r="M255" i="7" s="1"/>
  <c r="N255" i="7" s="1"/>
  <c r="O255" i="7" s="1"/>
  <c r="P255" i="7" s="1"/>
  <c r="Q255" i="7" s="1"/>
  <c r="R255" i="7" s="1"/>
  <c r="P241" i="7"/>
  <c r="Q241" i="7" s="1"/>
  <c r="D159" i="7"/>
  <c r="F159" i="7" s="1"/>
  <c r="G159" i="7" s="1"/>
  <c r="H159" i="7" s="1"/>
  <c r="I159" i="7" s="1"/>
  <c r="J159" i="7" s="1"/>
  <c r="K159" i="7" s="1"/>
  <c r="G237" i="7"/>
  <c r="F261" i="7"/>
  <c r="G261" i="7" s="1"/>
  <c r="H261" i="7" s="1"/>
  <c r="I261" i="7" s="1"/>
  <c r="J261" i="7" s="1"/>
  <c r="K261" i="7" s="1"/>
  <c r="L261" i="7" s="1"/>
  <c r="M261" i="7" s="1"/>
  <c r="N261" i="7" s="1"/>
  <c r="O261" i="7" s="1"/>
  <c r="P261" i="7" s="1"/>
  <c r="Q261" i="7" s="1"/>
  <c r="R261" i="7" s="1"/>
  <c r="E227" i="7"/>
  <c r="E226" i="7" s="1"/>
  <c r="J58" i="8"/>
  <c r="G209" i="4"/>
  <c r="H209" i="4"/>
  <c r="H155" i="4" s="1"/>
  <c r="F105" i="8" s="1"/>
  <c r="F107" i="8" s="1"/>
  <c r="F110" i="8" s="1"/>
  <c r="F109" i="8" s="1"/>
  <c r="I182" i="4"/>
  <c r="H208" i="4"/>
  <c r="I129" i="4"/>
  <c r="I88" i="8" l="1"/>
  <c r="H147" i="8"/>
  <c r="H145" i="8"/>
  <c r="H146" i="8" s="1"/>
  <c r="I145" i="8"/>
  <c r="R142" i="7"/>
  <c r="S261" i="7"/>
  <c r="R263" i="7"/>
  <c r="R262" i="7" s="1"/>
  <c r="T249" i="7"/>
  <c r="T251" i="7" s="1"/>
  <c r="T250" i="7" s="1"/>
  <c r="S251" i="7"/>
  <c r="S250" i="7" s="1"/>
  <c r="S213" i="7"/>
  <c r="R215" i="7"/>
  <c r="R214" i="7" s="1"/>
  <c r="T142" i="7"/>
  <c r="S255" i="7"/>
  <c r="R257" i="7"/>
  <c r="R256" i="7" s="1"/>
  <c r="T219" i="7"/>
  <c r="T221" i="7" s="1"/>
  <c r="T220" i="7" s="1"/>
  <c r="S221" i="7"/>
  <c r="S220" i="7" s="1"/>
  <c r="S142" i="7"/>
  <c r="L159" i="7"/>
  <c r="K273" i="7"/>
  <c r="I235" i="7"/>
  <c r="H283" i="7"/>
  <c r="F236" i="7"/>
  <c r="F239" i="7" s="1"/>
  <c r="F238" i="7" s="1"/>
  <c r="D236" i="7"/>
  <c r="D239" i="7" s="1"/>
  <c r="D238" i="7" s="1"/>
  <c r="D280" i="7"/>
  <c r="I128" i="4"/>
  <c r="J128" i="4" s="1"/>
  <c r="H154" i="4"/>
  <c r="F99" i="8" s="1"/>
  <c r="I74" i="4"/>
  <c r="I101" i="4" s="1"/>
  <c r="G240" i="7" s="1"/>
  <c r="G242" i="7" s="1"/>
  <c r="I209" i="4"/>
  <c r="I155" i="4" s="1"/>
  <c r="G105" i="8" s="1"/>
  <c r="G107" i="8" s="1"/>
  <c r="G110" i="8" s="1"/>
  <c r="G109" i="8" s="1"/>
  <c r="I73" i="4"/>
  <c r="I100" i="4" s="1"/>
  <c r="G234" i="7" s="1"/>
  <c r="O94" i="8"/>
  <c r="J4" i="8"/>
  <c r="K100" i="8"/>
  <c r="G243" i="7"/>
  <c r="F245" i="7"/>
  <c r="F244" i="7" s="1"/>
  <c r="H237" i="7"/>
  <c r="K58" i="8"/>
  <c r="H206" i="4"/>
  <c r="H207" i="4"/>
  <c r="J182" i="4"/>
  <c r="I208" i="4"/>
  <c r="J129" i="4"/>
  <c r="G72" i="4"/>
  <c r="G127" i="4" s="1"/>
  <c r="I127" i="4" s="1"/>
  <c r="J127" i="4" s="1"/>
  <c r="G71" i="4"/>
  <c r="G126" i="4" s="1"/>
  <c r="H126" i="4" s="1"/>
  <c r="I126" i="4" s="1"/>
  <c r="J126" i="4" s="1"/>
  <c r="F187" i="7"/>
  <c r="G187" i="7" s="1"/>
  <c r="J145" i="8" l="1"/>
  <c r="J88" i="8"/>
  <c r="I147" i="8"/>
  <c r="I146" i="8" s="1"/>
  <c r="T255" i="7"/>
  <c r="T257" i="7" s="1"/>
  <c r="T256" i="7" s="1"/>
  <c r="S257" i="7"/>
  <c r="S256" i="7" s="1"/>
  <c r="T213" i="7"/>
  <c r="T215" i="7" s="1"/>
  <c r="T214" i="7" s="1"/>
  <c r="S215" i="7"/>
  <c r="S214" i="7" s="1"/>
  <c r="T261" i="7"/>
  <c r="T263" i="7" s="1"/>
  <c r="T262" i="7" s="1"/>
  <c r="S263" i="7"/>
  <c r="S262" i="7" s="1"/>
  <c r="I283" i="7"/>
  <c r="J235" i="7"/>
  <c r="M159" i="7"/>
  <c r="L273" i="7"/>
  <c r="F101" i="8"/>
  <c r="F104" i="8" s="1"/>
  <c r="F103" i="8" s="1"/>
  <c r="G236" i="7"/>
  <c r="G239" i="7" s="1"/>
  <c r="G238" i="7" s="1"/>
  <c r="I154" i="4"/>
  <c r="G99" i="8" s="1"/>
  <c r="F93" i="8"/>
  <c r="F95" i="8" s="1"/>
  <c r="F98" i="8" s="1"/>
  <c r="F97" i="8" s="1"/>
  <c r="H152" i="4"/>
  <c r="F87" i="8" s="1"/>
  <c r="F89" i="8" s="1"/>
  <c r="F92" i="8" s="1"/>
  <c r="F91" i="8" s="1"/>
  <c r="J74" i="4"/>
  <c r="J101" i="4" s="1"/>
  <c r="H240" i="7" s="1"/>
  <c r="H242" i="7" s="1"/>
  <c r="J209" i="4"/>
  <c r="J155" i="4" s="1"/>
  <c r="H105" i="8" s="1"/>
  <c r="H107" i="8" s="1"/>
  <c r="H110" i="8" s="1"/>
  <c r="H109" i="8" s="1"/>
  <c r="J73" i="4"/>
  <c r="J100" i="4" s="1"/>
  <c r="H234" i="7" s="1"/>
  <c r="K4" i="8"/>
  <c r="L100" i="8"/>
  <c r="P94" i="8"/>
  <c r="Q94" i="8" s="1"/>
  <c r="R94" i="8" s="1"/>
  <c r="H243" i="7"/>
  <c r="I243" i="7" s="1"/>
  <c r="G245" i="7"/>
  <c r="G244" i="7" s="1"/>
  <c r="I237" i="7"/>
  <c r="J237" i="7" s="1"/>
  <c r="L58" i="8"/>
  <c r="K182" i="4"/>
  <c r="J208" i="4"/>
  <c r="J154" i="4" s="1"/>
  <c r="H99" i="8" s="1"/>
  <c r="K128" i="4"/>
  <c r="K129" i="4"/>
  <c r="K127" i="4"/>
  <c r="K126" i="4"/>
  <c r="I206" i="4"/>
  <c r="I152" i="4" s="1"/>
  <c r="G87" i="8" s="1"/>
  <c r="G89" i="8" s="1"/>
  <c r="G92" i="8" s="1"/>
  <c r="G91" i="8" s="1"/>
  <c r="H71" i="4"/>
  <c r="H98" i="4" s="1"/>
  <c r="F222" i="7" s="1"/>
  <c r="F224" i="7" s="1"/>
  <c r="F227" i="7" s="1"/>
  <c r="F226" i="7" s="1"/>
  <c r="I207" i="4"/>
  <c r="G93" i="8" s="1"/>
  <c r="G95" i="8" s="1"/>
  <c r="G98" i="8" s="1"/>
  <c r="G97" i="8" s="1"/>
  <c r="H72" i="4"/>
  <c r="H99" i="4" s="1"/>
  <c r="F228" i="7" s="1"/>
  <c r="H187" i="7"/>
  <c r="B281" i="7"/>
  <c r="K88" i="8" l="1"/>
  <c r="J147" i="8"/>
  <c r="J146" i="8"/>
  <c r="S94" i="8"/>
  <c r="R95" i="8"/>
  <c r="R98" i="8" s="1"/>
  <c r="R97" i="8" s="1"/>
  <c r="N159" i="7"/>
  <c r="M273" i="7"/>
  <c r="K235" i="7"/>
  <c r="J283" i="7"/>
  <c r="F230" i="7"/>
  <c r="F233" i="7" s="1"/>
  <c r="F232" i="7" s="1"/>
  <c r="F280" i="7"/>
  <c r="F144" i="8"/>
  <c r="G199" i="7"/>
  <c r="H236" i="7"/>
  <c r="H239" i="7" s="1"/>
  <c r="H238" i="7" s="1"/>
  <c r="H101" i="8"/>
  <c r="H104" i="8" s="1"/>
  <c r="H103" i="8" s="1"/>
  <c r="G101" i="8"/>
  <c r="G104" i="8" s="1"/>
  <c r="G103" i="8" s="1"/>
  <c r="G144" i="8"/>
  <c r="K74" i="4"/>
  <c r="K101" i="4" s="1"/>
  <c r="I240" i="7" s="1"/>
  <c r="I242" i="7" s="1"/>
  <c r="I245" i="7" s="1"/>
  <c r="I244" i="7" s="1"/>
  <c r="K209" i="4"/>
  <c r="K155" i="4" s="1"/>
  <c r="I105" i="8" s="1"/>
  <c r="I107" i="8" s="1"/>
  <c r="I110" i="8" s="1"/>
  <c r="I109" i="8" s="1"/>
  <c r="K73" i="4"/>
  <c r="K100" i="4" s="1"/>
  <c r="I234" i="7" s="1"/>
  <c r="I236" i="7" s="1"/>
  <c r="I239" i="7" s="1"/>
  <c r="I238" i="7" s="1"/>
  <c r="M100" i="8"/>
  <c r="L4" i="8"/>
  <c r="K237" i="7"/>
  <c r="H245" i="7"/>
  <c r="H244" i="7" s="1"/>
  <c r="J243" i="7"/>
  <c r="M58" i="8"/>
  <c r="L182" i="4"/>
  <c r="K208" i="4"/>
  <c r="K154" i="4" s="1"/>
  <c r="I99" i="8" s="1"/>
  <c r="L126" i="4"/>
  <c r="L129" i="4"/>
  <c r="L127" i="4"/>
  <c r="L128" i="4"/>
  <c r="J207" i="4"/>
  <c r="H93" i="8" s="1"/>
  <c r="H95" i="8" s="1"/>
  <c r="H98" i="8" s="1"/>
  <c r="H97" i="8" s="1"/>
  <c r="I72" i="4"/>
  <c r="I99" i="4" s="1"/>
  <c r="G228" i="7" s="1"/>
  <c r="J206" i="4"/>
  <c r="J152" i="4" s="1"/>
  <c r="H87" i="8" s="1"/>
  <c r="H89" i="8" s="1"/>
  <c r="H92" i="8" s="1"/>
  <c r="H91" i="8" s="1"/>
  <c r="I71" i="4"/>
  <c r="I98" i="4" s="1"/>
  <c r="G222" i="7" s="1"/>
  <c r="G224" i="7" s="1"/>
  <c r="G227" i="7" s="1"/>
  <c r="G226" i="7" s="1"/>
  <c r="I187" i="7"/>
  <c r="L88" i="8" l="1"/>
  <c r="K147" i="8"/>
  <c r="T94" i="8"/>
  <c r="T95" i="8" s="1"/>
  <c r="T98" i="8" s="1"/>
  <c r="T97" i="8" s="1"/>
  <c r="S95" i="8"/>
  <c r="S98" i="8" s="1"/>
  <c r="S97" i="8" s="1"/>
  <c r="K145" i="8"/>
  <c r="K146" i="8" s="1"/>
  <c r="L235" i="7"/>
  <c r="K283" i="7"/>
  <c r="O159" i="7"/>
  <c r="N273" i="7"/>
  <c r="G230" i="7"/>
  <c r="G233" i="7" s="1"/>
  <c r="G232" i="7" s="1"/>
  <c r="G280" i="7"/>
  <c r="H144" i="8"/>
  <c r="H199" i="7"/>
  <c r="I101" i="8"/>
  <c r="I104" i="8" s="1"/>
  <c r="I103" i="8" s="1"/>
  <c r="L74" i="4"/>
  <c r="L101" i="4" s="1"/>
  <c r="J240" i="7" s="1"/>
  <c r="J242" i="7" s="1"/>
  <c r="J245" i="7" s="1"/>
  <c r="J244" i="7" s="1"/>
  <c r="L209" i="4"/>
  <c r="L155" i="4" s="1"/>
  <c r="J105" i="8" s="1"/>
  <c r="J107" i="8" s="1"/>
  <c r="J110" i="8" s="1"/>
  <c r="J109" i="8" s="1"/>
  <c r="L73" i="4"/>
  <c r="L100" i="4" s="1"/>
  <c r="J234" i="7" s="1"/>
  <c r="M4" i="8"/>
  <c r="N100" i="8"/>
  <c r="G139" i="7"/>
  <c r="G281" i="7" s="1"/>
  <c r="G282" i="7" s="1"/>
  <c r="L237" i="7"/>
  <c r="M237" i="7" s="1"/>
  <c r="K243" i="7"/>
  <c r="L243" i="7" s="1"/>
  <c r="N58" i="8"/>
  <c r="M182" i="4"/>
  <c r="L208" i="4"/>
  <c r="L154" i="4" s="1"/>
  <c r="J99" i="8" s="1"/>
  <c r="M128" i="4"/>
  <c r="M129" i="4"/>
  <c r="M127" i="4"/>
  <c r="M126" i="4"/>
  <c r="K206" i="4"/>
  <c r="K152" i="4" s="1"/>
  <c r="I87" i="8" s="1"/>
  <c r="I89" i="8" s="1"/>
  <c r="I92" i="8" s="1"/>
  <c r="I91" i="8" s="1"/>
  <c r="J71" i="4"/>
  <c r="J98" i="4" s="1"/>
  <c r="H222" i="7" s="1"/>
  <c r="H224" i="7" s="1"/>
  <c r="H227" i="7" s="1"/>
  <c r="H226" i="7" s="1"/>
  <c r="K207" i="4"/>
  <c r="I93" i="8" s="1"/>
  <c r="I95" i="8" s="1"/>
  <c r="I98" i="8" s="1"/>
  <c r="I97" i="8" s="1"/>
  <c r="J72" i="4"/>
  <c r="J99" i="4" s="1"/>
  <c r="H228" i="7" s="1"/>
  <c r="J187" i="7"/>
  <c r="M88" i="8" l="1"/>
  <c r="L147" i="8"/>
  <c r="L145" i="8"/>
  <c r="L146" i="8" s="1"/>
  <c r="P159" i="7"/>
  <c r="O273" i="7"/>
  <c r="M235" i="7"/>
  <c r="L283" i="7"/>
  <c r="H230" i="7"/>
  <c r="H233" i="7" s="1"/>
  <c r="H232" i="7" s="1"/>
  <c r="H280" i="7"/>
  <c r="I144" i="8"/>
  <c r="I199" i="7"/>
  <c r="J101" i="8"/>
  <c r="J104" i="8" s="1"/>
  <c r="J103" i="8" s="1"/>
  <c r="J236" i="7"/>
  <c r="J239" i="7" s="1"/>
  <c r="J238" i="7" s="1"/>
  <c r="M74" i="4"/>
  <c r="M101" i="4" s="1"/>
  <c r="K240" i="7" s="1"/>
  <c r="K242" i="7" s="1"/>
  <c r="K245" i="7" s="1"/>
  <c r="K244" i="7" s="1"/>
  <c r="M209" i="4"/>
  <c r="M155" i="4" s="1"/>
  <c r="K105" i="8" s="1"/>
  <c r="K107" i="8" s="1"/>
  <c r="K110" i="8" s="1"/>
  <c r="K109" i="8" s="1"/>
  <c r="M73" i="4"/>
  <c r="M100" i="4" s="1"/>
  <c r="K234" i="7" s="1"/>
  <c r="O100" i="8"/>
  <c r="N4" i="8"/>
  <c r="N237" i="7"/>
  <c r="H139" i="7"/>
  <c r="H281" i="7" s="1"/>
  <c r="H282" i="7" s="1"/>
  <c r="M243" i="7"/>
  <c r="O58" i="8"/>
  <c r="N182" i="4"/>
  <c r="M208" i="4"/>
  <c r="M154" i="4" s="1"/>
  <c r="K99" i="8" s="1"/>
  <c r="N126" i="4"/>
  <c r="N129" i="4"/>
  <c r="N127" i="4"/>
  <c r="N128" i="4"/>
  <c r="L207" i="4"/>
  <c r="J93" i="8" s="1"/>
  <c r="J95" i="8" s="1"/>
  <c r="J98" i="8" s="1"/>
  <c r="J97" i="8" s="1"/>
  <c r="K72" i="4"/>
  <c r="K99" i="4" s="1"/>
  <c r="I228" i="7" s="1"/>
  <c r="L206" i="4"/>
  <c r="L152" i="4" s="1"/>
  <c r="J87" i="8" s="1"/>
  <c r="J89" i="8" s="1"/>
  <c r="J92" i="8" s="1"/>
  <c r="J91" i="8" s="1"/>
  <c r="K71" i="4"/>
  <c r="K98" i="4" s="1"/>
  <c r="I222" i="7" s="1"/>
  <c r="I224" i="7" s="1"/>
  <c r="I227" i="7" s="1"/>
  <c r="I226" i="7" s="1"/>
  <c r="K187" i="7"/>
  <c r="N88" i="8" l="1"/>
  <c r="M147" i="8"/>
  <c r="P58" i="8"/>
  <c r="M145" i="8"/>
  <c r="M146" i="8" s="1"/>
  <c r="M283" i="7"/>
  <c r="N235" i="7"/>
  <c r="Q159" i="7"/>
  <c r="P273" i="7"/>
  <c r="J144" i="8"/>
  <c r="J199" i="7"/>
  <c r="K236" i="7"/>
  <c r="K239" i="7" s="1"/>
  <c r="K238" i="7" s="1"/>
  <c r="K101" i="8"/>
  <c r="K104" i="8" s="1"/>
  <c r="K103" i="8" s="1"/>
  <c r="I230" i="7"/>
  <c r="I233" i="7" s="1"/>
  <c r="I232" i="7" s="1"/>
  <c r="I280" i="7"/>
  <c r="N74" i="4"/>
  <c r="N101" i="4" s="1"/>
  <c r="L240" i="7" s="1"/>
  <c r="L242" i="7" s="1"/>
  <c r="L245" i="7" s="1"/>
  <c r="L244" i="7" s="1"/>
  <c r="N209" i="4"/>
  <c r="N155" i="4" s="1"/>
  <c r="L105" i="8" s="1"/>
  <c r="L107" i="8" s="1"/>
  <c r="L110" i="8" s="1"/>
  <c r="L109" i="8" s="1"/>
  <c r="N73" i="4"/>
  <c r="N100" i="4" s="1"/>
  <c r="L234" i="7" s="1"/>
  <c r="O4" i="8"/>
  <c r="P100" i="8"/>
  <c r="Q100" i="8" s="1"/>
  <c r="R100" i="8" s="1"/>
  <c r="O237" i="7"/>
  <c r="N243" i="7"/>
  <c r="O243" i="7" s="1"/>
  <c r="I139" i="7"/>
  <c r="I281" i="7" s="1"/>
  <c r="I282" i="7" s="1"/>
  <c r="O182" i="4"/>
  <c r="N208" i="4"/>
  <c r="N154" i="4" s="1"/>
  <c r="L99" i="8" s="1"/>
  <c r="M206" i="4"/>
  <c r="M152" i="4" s="1"/>
  <c r="K87" i="8" s="1"/>
  <c r="K89" i="8" s="1"/>
  <c r="K92" i="8" s="1"/>
  <c r="K91" i="8" s="1"/>
  <c r="O129" i="4"/>
  <c r="O128" i="4"/>
  <c r="O127" i="4"/>
  <c r="O126" i="4"/>
  <c r="L71" i="4"/>
  <c r="L98" i="4" s="1"/>
  <c r="J222" i="7" s="1"/>
  <c r="J224" i="7" s="1"/>
  <c r="J227" i="7" s="1"/>
  <c r="J226" i="7" s="1"/>
  <c r="M207" i="4"/>
  <c r="K93" i="8" s="1"/>
  <c r="K95" i="8" s="1"/>
  <c r="K98" i="8" s="1"/>
  <c r="K97" i="8" s="1"/>
  <c r="L72" i="4"/>
  <c r="L99" i="4" s="1"/>
  <c r="J228" i="7" s="1"/>
  <c r="L187" i="7"/>
  <c r="O88" i="8" l="1"/>
  <c r="N147" i="8"/>
  <c r="S100" i="8"/>
  <c r="R101" i="8"/>
  <c r="R104" i="8" s="1"/>
  <c r="R103" i="8" s="1"/>
  <c r="Q58" i="8"/>
  <c r="N145" i="8"/>
  <c r="N146" i="8" s="1"/>
  <c r="Q273" i="7"/>
  <c r="R159" i="7"/>
  <c r="N283" i="7"/>
  <c r="O235" i="7"/>
  <c r="J230" i="7"/>
  <c r="J233" i="7" s="1"/>
  <c r="J232" i="7" s="1"/>
  <c r="J280" i="7"/>
  <c r="K144" i="8"/>
  <c r="K199" i="7"/>
  <c r="L101" i="8"/>
  <c r="L104" i="8" s="1"/>
  <c r="L103" i="8" s="1"/>
  <c r="L236" i="7"/>
  <c r="L239" i="7" s="1"/>
  <c r="L238" i="7" s="1"/>
  <c r="O74" i="4"/>
  <c r="O101" i="4" s="1"/>
  <c r="M240" i="7" s="1"/>
  <c r="M242" i="7" s="1"/>
  <c r="M245" i="7" s="1"/>
  <c r="M244" i="7" s="1"/>
  <c r="O209" i="4"/>
  <c r="O155" i="4" s="1"/>
  <c r="M105" i="8" s="1"/>
  <c r="M107" i="8" s="1"/>
  <c r="M110" i="8" s="1"/>
  <c r="M109" i="8" s="1"/>
  <c r="O73" i="4"/>
  <c r="O100" i="4" s="1"/>
  <c r="M234" i="7" s="1"/>
  <c r="P4" i="8"/>
  <c r="J139" i="7"/>
  <c r="J281" i="7" s="1"/>
  <c r="J282" i="7" s="1"/>
  <c r="P243" i="7"/>
  <c r="Q243" i="7" s="1"/>
  <c r="P237" i="7"/>
  <c r="Q237" i="7" s="1"/>
  <c r="P182" i="4"/>
  <c r="O208" i="4"/>
  <c r="O154" i="4" s="1"/>
  <c r="M99" i="8" s="1"/>
  <c r="P126" i="4"/>
  <c r="P128" i="4"/>
  <c r="P127" i="4"/>
  <c r="P129" i="4"/>
  <c r="N207" i="4"/>
  <c r="L93" i="8" s="1"/>
  <c r="L95" i="8" s="1"/>
  <c r="L98" i="8" s="1"/>
  <c r="L97" i="8" s="1"/>
  <c r="M72" i="4"/>
  <c r="M99" i="4" s="1"/>
  <c r="K228" i="7" s="1"/>
  <c r="N206" i="4"/>
  <c r="N152" i="4" s="1"/>
  <c r="L87" i="8" s="1"/>
  <c r="L89" i="8" s="1"/>
  <c r="L92" i="8" s="1"/>
  <c r="L91" i="8" s="1"/>
  <c r="M71" i="4"/>
  <c r="M98" i="4" s="1"/>
  <c r="K222" i="7" s="1"/>
  <c r="K224" i="7" s="1"/>
  <c r="K227" i="7" s="1"/>
  <c r="K226" i="7" s="1"/>
  <c r="M187" i="7"/>
  <c r="P88" i="8" l="1"/>
  <c r="O147" i="8"/>
  <c r="R58" i="8"/>
  <c r="Q4" i="8"/>
  <c r="T100" i="8"/>
  <c r="T101" i="8" s="1"/>
  <c r="T104" i="8" s="1"/>
  <c r="T103" i="8" s="1"/>
  <c r="S101" i="8"/>
  <c r="S104" i="8" s="1"/>
  <c r="S103" i="8" s="1"/>
  <c r="O145" i="8"/>
  <c r="O146" i="8" s="1"/>
  <c r="R273" i="7"/>
  <c r="R275" i="7" s="1"/>
  <c r="R274" i="7" s="1"/>
  <c r="S159" i="7"/>
  <c r="R161" i="7"/>
  <c r="O283" i="7"/>
  <c r="P235" i="7"/>
  <c r="K230" i="7"/>
  <c r="K233" i="7" s="1"/>
  <c r="K232" i="7" s="1"/>
  <c r="K280" i="7"/>
  <c r="L144" i="8"/>
  <c r="L199" i="7"/>
  <c r="M236" i="7"/>
  <c r="M239" i="7" s="1"/>
  <c r="M238" i="7" s="1"/>
  <c r="M101" i="8"/>
  <c r="M104" i="8" s="1"/>
  <c r="M103" i="8" s="1"/>
  <c r="P74" i="4"/>
  <c r="P101" i="4" s="1"/>
  <c r="N240" i="7" s="1"/>
  <c r="N242" i="7" s="1"/>
  <c r="N245" i="7" s="1"/>
  <c r="N244" i="7" s="1"/>
  <c r="P209" i="4"/>
  <c r="P155" i="4" s="1"/>
  <c r="N105" i="8" s="1"/>
  <c r="N107" i="8" s="1"/>
  <c r="N110" i="8" s="1"/>
  <c r="N109" i="8" s="1"/>
  <c r="P73" i="4"/>
  <c r="P100" i="4" s="1"/>
  <c r="N234" i="7" s="1"/>
  <c r="K139" i="7"/>
  <c r="K281" i="7" s="1"/>
  <c r="K282" i="7" s="1"/>
  <c r="Q182" i="4"/>
  <c r="P208" i="4"/>
  <c r="P154" i="4" s="1"/>
  <c r="N99" i="8" s="1"/>
  <c r="P180" i="4"/>
  <c r="Q129" i="4"/>
  <c r="Q128" i="4"/>
  <c r="Q126" i="4"/>
  <c r="Q127" i="4"/>
  <c r="O206" i="4"/>
  <c r="O152" i="4" s="1"/>
  <c r="M87" i="8" s="1"/>
  <c r="M89" i="8" s="1"/>
  <c r="M92" i="8" s="1"/>
  <c r="M91" i="8" s="1"/>
  <c r="N71" i="4"/>
  <c r="N98" i="4" s="1"/>
  <c r="L222" i="7" s="1"/>
  <c r="L224" i="7" s="1"/>
  <c r="L227" i="7" s="1"/>
  <c r="L226" i="7" s="1"/>
  <c r="O207" i="4"/>
  <c r="M93" i="8" s="1"/>
  <c r="M95" i="8" s="1"/>
  <c r="M98" i="8" s="1"/>
  <c r="M97" i="8" s="1"/>
  <c r="N72" i="4"/>
  <c r="N99" i="4" s="1"/>
  <c r="L228" i="7" s="1"/>
  <c r="N187" i="7"/>
  <c r="G78" i="8"/>
  <c r="R59" i="8" l="1"/>
  <c r="R62" i="8" s="1"/>
  <c r="R61" i="8" s="1"/>
  <c r="R4" i="8"/>
  <c r="Q145" i="8"/>
  <c r="P147" i="8"/>
  <c r="Q88" i="8"/>
  <c r="P145" i="8"/>
  <c r="P146" i="8" s="1"/>
  <c r="S58" i="8"/>
  <c r="S59" i="8" s="1"/>
  <c r="S62" i="8" s="1"/>
  <c r="S61" i="8" s="1"/>
  <c r="R160" i="7"/>
  <c r="S273" i="7"/>
  <c r="S275" i="7" s="1"/>
  <c r="S274" i="7" s="1"/>
  <c r="T159" i="7"/>
  <c r="S161" i="7"/>
  <c r="P283" i="7"/>
  <c r="Q235" i="7"/>
  <c r="Q283" i="7" s="1"/>
  <c r="L230" i="7"/>
  <c r="L233" i="7" s="1"/>
  <c r="L232" i="7" s="1"/>
  <c r="L280" i="7"/>
  <c r="M144" i="8"/>
  <c r="M199" i="7"/>
  <c r="N236" i="7"/>
  <c r="N239" i="7" s="1"/>
  <c r="N238" i="7" s="1"/>
  <c r="N101" i="8"/>
  <c r="N104" i="8" s="1"/>
  <c r="N103" i="8" s="1"/>
  <c r="Q74" i="4"/>
  <c r="Q101" i="4" s="1"/>
  <c r="O240" i="7" s="1"/>
  <c r="O242" i="7" s="1"/>
  <c r="O245" i="7" s="1"/>
  <c r="O244" i="7" s="1"/>
  <c r="Q209" i="4"/>
  <c r="Q155" i="4" s="1"/>
  <c r="O105" i="8" s="1"/>
  <c r="O107" i="8" s="1"/>
  <c r="O110" i="8" s="1"/>
  <c r="O109" i="8" s="1"/>
  <c r="Q73" i="4"/>
  <c r="Q100" i="4" s="1"/>
  <c r="O234" i="7" s="1"/>
  <c r="L139" i="7"/>
  <c r="L281" i="7" s="1"/>
  <c r="L282" i="7" s="1"/>
  <c r="R182" i="4"/>
  <c r="Q208" i="4"/>
  <c r="Q154" i="4" s="1"/>
  <c r="O99" i="8" s="1"/>
  <c r="Q180" i="4"/>
  <c r="R128" i="4"/>
  <c r="R126" i="4"/>
  <c r="R127" i="4"/>
  <c r="R129" i="4"/>
  <c r="P207" i="4"/>
  <c r="N93" i="8" s="1"/>
  <c r="N95" i="8" s="1"/>
  <c r="N98" i="8" s="1"/>
  <c r="N97" i="8" s="1"/>
  <c r="O72" i="4"/>
  <c r="O99" i="4" s="1"/>
  <c r="M228" i="7" s="1"/>
  <c r="P206" i="4"/>
  <c r="P152" i="4" s="1"/>
  <c r="N87" i="8" s="1"/>
  <c r="N89" i="8" s="1"/>
  <c r="N92" i="8" s="1"/>
  <c r="N91" i="8" s="1"/>
  <c r="O71" i="4"/>
  <c r="O98" i="4" s="1"/>
  <c r="M222" i="7" s="1"/>
  <c r="M224" i="7" s="1"/>
  <c r="M227" i="7" s="1"/>
  <c r="M226" i="7" s="1"/>
  <c r="O187" i="7"/>
  <c r="C81" i="8"/>
  <c r="C75" i="8"/>
  <c r="S4" i="8" l="1"/>
  <c r="R145" i="8"/>
  <c r="R148" i="8" s="1"/>
  <c r="R5" i="8"/>
  <c r="R88" i="8"/>
  <c r="Q147" i="8"/>
  <c r="Q146" i="8" s="1"/>
  <c r="T58" i="8"/>
  <c r="T59" i="8" s="1"/>
  <c r="T62" i="8" s="1"/>
  <c r="T61" i="8" s="1"/>
  <c r="T273" i="7"/>
  <c r="T275" i="7" s="1"/>
  <c r="T274" i="7" s="1"/>
  <c r="T161" i="7"/>
  <c r="S160" i="7"/>
  <c r="M230" i="7"/>
  <c r="M233" i="7" s="1"/>
  <c r="M232" i="7" s="1"/>
  <c r="M280" i="7"/>
  <c r="N144" i="8"/>
  <c r="N199" i="7"/>
  <c r="O236" i="7"/>
  <c r="O239" i="7" s="1"/>
  <c r="O238" i="7" s="1"/>
  <c r="O101" i="8"/>
  <c r="O104" i="8" s="1"/>
  <c r="O103" i="8" s="1"/>
  <c r="R74" i="4"/>
  <c r="R101" i="4" s="1"/>
  <c r="P240" i="7" s="1"/>
  <c r="P242" i="7" s="1"/>
  <c r="P245" i="7" s="1"/>
  <c r="P244" i="7" s="1"/>
  <c r="R209" i="4"/>
  <c r="R155" i="4" s="1"/>
  <c r="P105" i="8" s="1"/>
  <c r="P107" i="8" s="1"/>
  <c r="P110" i="8" s="1"/>
  <c r="P109" i="8" s="1"/>
  <c r="S73" i="4"/>
  <c r="R73" i="4"/>
  <c r="R100" i="4" s="1"/>
  <c r="P234" i="7" s="1"/>
  <c r="M139" i="7"/>
  <c r="M281" i="7" s="1"/>
  <c r="M282" i="7" s="1"/>
  <c r="S182" i="4"/>
  <c r="S208" i="4" s="1"/>
  <c r="R208" i="4"/>
  <c r="R154" i="4" s="1"/>
  <c r="P99" i="8" s="1"/>
  <c r="R180" i="4"/>
  <c r="Q206" i="4"/>
  <c r="Q152" i="4" s="1"/>
  <c r="O87" i="8" s="1"/>
  <c r="O89" i="8" s="1"/>
  <c r="O92" i="8" s="1"/>
  <c r="O91" i="8" s="1"/>
  <c r="S126" i="4"/>
  <c r="S127" i="4"/>
  <c r="S129" i="4"/>
  <c r="S128" i="4"/>
  <c r="P71" i="4"/>
  <c r="P98" i="4" s="1"/>
  <c r="N222" i="7" s="1"/>
  <c r="N224" i="7" s="1"/>
  <c r="N227" i="7" s="1"/>
  <c r="N226" i="7" s="1"/>
  <c r="Q207" i="4"/>
  <c r="O93" i="8" s="1"/>
  <c r="O95" i="8" s="1"/>
  <c r="O98" i="8" s="1"/>
  <c r="O97" i="8" s="1"/>
  <c r="P72" i="4"/>
  <c r="P99" i="4" s="1"/>
  <c r="N228" i="7" s="1"/>
  <c r="P187" i="7"/>
  <c r="Q187" i="7" s="1"/>
  <c r="T4" i="8" l="1"/>
  <c r="S5" i="8"/>
  <c r="S88" i="8"/>
  <c r="R89" i="8"/>
  <c r="R92" i="8" s="1"/>
  <c r="R91" i="8" s="1"/>
  <c r="R147" i="8"/>
  <c r="R146" i="8" s="1"/>
  <c r="T160" i="7"/>
  <c r="N230" i="7"/>
  <c r="N233" i="7" s="1"/>
  <c r="N232" i="7" s="1"/>
  <c r="N280" i="7"/>
  <c r="O144" i="8"/>
  <c r="O199" i="7"/>
  <c r="P101" i="8"/>
  <c r="P104" i="8" s="1"/>
  <c r="P103" i="8" s="1"/>
  <c r="P236" i="7"/>
  <c r="P239" i="7" s="1"/>
  <c r="P238" i="7" s="1"/>
  <c r="S154" i="4"/>
  <c r="Q99" i="8" s="1"/>
  <c r="S100" i="4"/>
  <c r="Q234" i="7" s="1"/>
  <c r="S74" i="4"/>
  <c r="S101" i="4" s="1"/>
  <c r="Q240" i="7" s="1"/>
  <c r="Q242" i="7" s="1"/>
  <c r="Q245" i="7" s="1"/>
  <c r="Q244" i="7" s="1"/>
  <c r="S209" i="4"/>
  <c r="S155" i="4" s="1"/>
  <c r="Q105" i="8" s="1"/>
  <c r="Q107" i="8" s="1"/>
  <c r="Q110" i="8" s="1"/>
  <c r="Q109" i="8" s="1"/>
  <c r="N139" i="7"/>
  <c r="N281" i="7" s="1"/>
  <c r="N282" i="7" s="1"/>
  <c r="S180" i="4"/>
  <c r="R206" i="4"/>
  <c r="R152" i="4" s="1"/>
  <c r="P87" i="8" s="1"/>
  <c r="P89" i="8" s="1"/>
  <c r="P92" i="8" s="1"/>
  <c r="P91" i="8" s="1"/>
  <c r="R207" i="4"/>
  <c r="P93" i="8" s="1"/>
  <c r="P95" i="8" s="1"/>
  <c r="P98" i="8" s="1"/>
  <c r="P97" i="8" s="1"/>
  <c r="Q72" i="4"/>
  <c r="Q99" i="4" s="1"/>
  <c r="O228" i="7" s="1"/>
  <c r="Q71" i="4"/>
  <c r="Q98" i="4" s="1"/>
  <c r="O222" i="7" s="1"/>
  <c r="O224" i="7" s="1"/>
  <c r="O227" i="7" s="1"/>
  <c r="O226" i="7" s="1"/>
  <c r="C30" i="7"/>
  <c r="B30" i="7"/>
  <c r="C29" i="7"/>
  <c r="B29" i="7"/>
  <c r="B89" i="4"/>
  <c r="D93" i="4"/>
  <c r="C93" i="4"/>
  <c r="B93" i="4"/>
  <c r="T88" i="8" l="1"/>
  <c r="S147" i="8"/>
  <c r="S89" i="8"/>
  <c r="S92" i="8" s="1"/>
  <c r="S91" i="8" s="1"/>
  <c r="S145" i="8"/>
  <c r="T5" i="8"/>
  <c r="T145" i="8"/>
  <c r="O230" i="7"/>
  <c r="O233" i="7" s="1"/>
  <c r="O232" i="7" s="1"/>
  <c r="O280" i="7"/>
  <c r="P144" i="8"/>
  <c r="P199" i="7"/>
  <c r="Q236" i="7"/>
  <c r="Q239" i="7" s="1"/>
  <c r="Q238" i="7" s="1"/>
  <c r="Q101" i="8"/>
  <c r="Q104" i="8" s="1"/>
  <c r="Q103" i="8" s="1"/>
  <c r="O139" i="7"/>
  <c r="O281" i="7" s="1"/>
  <c r="O282" i="7" s="1"/>
  <c r="S206" i="4"/>
  <c r="S152" i="4" s="1"/>
  <c r="Q87" i="8" s="1"/>
  <c r="Q89" i="8" s="1"/>
  <c r="Q92" i="8" s="1"/>
  <c r="Q91" i="8" s="1"/>
  <c r="S71" i="4"/>
  <c r="S98" i="4" s="1"/>
  <c r="Q222" i="7" s="1"/>
  <c r="Q224" i="7" s="1"/>
  <c r="Q227" i="7" s="1"/>
  <c r="Q226" i="7" s="1"/>
  <c r="R71" i="4"/>
  <c r="R98" i="4" s="1"/>
  <c r="P222" i="7" s="1"/>
  <c r="P224" i="7" s="1"/>
  <c r="P227" i="7" s="1"/>
  <c r="P226" i="7" s="1"/>
  <c r="S72" i="4"/>
  <c r="S99" i="4" s="1"/>
  <c r="Q228" i="7" s="1"/>
  <c r="Q230" i="7" s="1"/>
  <c r="Q233" i="7" s="1"/>
  <c r="Q232" i="7" s="1"/>
  <c r="R72" i="4"/>
  <c r="R99" i="4" s="1"/>
  <c r="P228" i="7" s="1"/>
  <c r="C42" i="7"/>
  <c r="B42" i="7"/>
  <c r="C41" i="7"/>
  <c r="B41" i="7"/>
  <c r="S146" i="8" l="1"/>
  <c r="S148" i="8"/>
  <c r="T148" i="8"/>
  <c r="T89" i="8"/>
  <c r="T92" i="8" s="1"/>
  <c r="T91" i="8" s="1"/>
  <c r="T147" i="8"/>
  <c r="T146" i="8" s="1"/>
  <c r="P230" i="7"/>
  <c r="P233" i="7" s="1"/>
  <c r="P232" i="7" s="1"/>
  <c r="P280" i="7"/>
  <c r="Q280" i="7"/>
  <c r="Q199" i="7"/>
  <c r="S207" i="4"/>
  <c r="Q93" i="8" s="1"/>
  <c r="Q95" i="8" s="1"/>
  <c r="Q98" i="8" s="1"/>
  <c r="Q97" i="8" s="1"/>
  <c r="P139" i="7"/>
  <c r="C135" i="8"/>
  <c r="C123" i="8"/>
  <c r="C117" i="8"/>
  <c r="C111" i="8"/>
  <c r="H78" i="8"/>
  <c r="I78" i="8" s="1"/>
  <c r="J78" i="8" s="1"/>
  <c r="K78" i="8" s="1"/>
  <c r="L78" i="8" s="1"/>
  <c r="M78" i="8" s="1"/>
  <c r="N78" i="8" s="1"/>
  <c r="O78" i="8" s="1"/>
  <c r="P78" i="8" s="1"/>
  <c r="Q78" i="8" s="1"/>
  <c r="R78" i="8" s="1"/>
  <c r="B69" i="8"/>
  <c r="C66" i="8"/>
  <c r="D66" i="8" s="1"/>
  <c r="E66" i="8" s="1"/>
  <c r="F66" i="8" s="1"/>
  <c r="B63" i="8"/>
  <c r="B57" i="8"/>
  <c r="B51" i="8"/>
  <c r="C48" i="8"/>
  <c r="D48" i="8" s="1"/>
  <c r="E48" i="8" s="1"/>
  <c r="F48" i="8" s="1"/>
  <c r="G48" i="8" s="1"/>
  <c r="H48" i="8" s="1"/>
  <c r="I48" i="8" s="1"/>
  <c r="J48" i="8" s="1"/>
  <c r="K48" i="8" s="1"/>
  <c r="L48" i="8" s="1"/>
  <c r="M48" i="8" s="1"/>
  <c r="N48" i="8" s="1"/>
  <c r="O48" i="8" s="1"/>
  <c r="P48" i="8" s="1"/>
  <c r="Q48" i="8" s="1"/>
  <c r="R48" i="8" s="1"/>
  <c r="C45" i="8"/>
  <c r="B45" i="8"/>
  <c r="C42" i="8"/>
  <c r="D42" i="8" s="1"/>
  <c r="E42" i="8" s="1"/>
  <c r="F42" i="8" s="1"/>
  <c r="G42" i="8" s="1"/>
  <c r="H42" i="8" s="1"/>
  <c r="I42" i="8" s="1"/>
  <c r="J42" i="8" s="1"/>
  <c r="K42" i="8" s="1"/>
  <c r="L42" i="8" s="1"/>
  <c r="M42" i="8" s="1"/>
  <c r="N42" i="8" s="1"/>
  <c r="O42" i="8" s="1"/>
  <c r="P42" i="8" s="1"/>
  <c r="Q42" i="8" s="1"/>
  <c r="R42" i="8" s="1"/>
  <c r="C39" i="8"/>
  <c r="B39" i="8"/>
  <c r="C36" i="8"/>
  <c r="D36" i="8" s="1"/>
  <c r="E36" i="8" s="1"/>
  <c r="F36" i="8" s="1"/>
  <c r="G36" i="8" s="1"/>
  <c r="H36" i="8" s="1"/>
  <c r="I36" i="8" s="1"/>
  <c r="J36" i="8" s="1"/>
  <c r="K36" i="8" s="1"/>
  <c r="L36" i="8" s="1"/>
  <c r="M36" i="8" s="1"/>
  <c r="N36" i="8" s="1"/>
  <c r="O36" i="8" s="1"/>
  <c r="P36" i="8" s="1"/>
  <c r="Q36" i="8" s="1"/>
  <c r="R36" i="8" s="1"/>
  <c r="C33" i="8"/>
  <c r="B33" i="8"/>
  <c r="C30" i="8"/>
  <c r="E30" i="8" s="1"/>
  <c r="F30" i="8" s="1"/>
  <c r="C27" i="8"/>
  <c r="B27" i="8"/>
  <c r="C24" i="8"/>
  <c r="G24" i="8" s="1"/>
  <c r="H24" i="8" s="1"/>
  <c r="I24" i="8" s="1"/>
  <c r="J24" i="8" s="1"/>
  <c r="K24" i="8" s="1"/>
  <c r="C21" i="8"/>
  <c r="B21" i="8"/>
  <c r="D18" i="8"/>
  <c r="G18" i="8" s="1"/>
  <c r="H18" i="8" s="1"/>
  <c r="I18" i="8" s="1"/>
  <c r="J18" i="8" s="1"/>
  <c r="K18" i="8" s="1"/>
  <c r="L18" i="8" s="1"/>
  <c r="M18" i="8" s="1"/>
  <c r="N18" i="8" s="1"/>
  <c r="O18" i="8" s="1"/>
  <c r="P18" i="8" s="1"/>
  <c r="Q18" i="8" s="1"/>
  <c r="R18" i="8" s="1"/>
  <c r="C15" i="8"/>
  <c r="B15" i="8"/>
  <c r="C12" i="8"/>
  <c r="D12" i="8" s="1"/>
  <c r="E12" i="8" s="1"/>
  <c r="G12" i="8" s="1"/>
  <c r="H12" i="8" s="1"/>
  <c r="I12" i="8" s="1"/>
  <c r="J12" i="8" s="1"/>
  <c r="K12" i="8" s="1"/>
  <c r="L12" i="8" s="1"/>
  <c r="M12" i="8" s="1"/>
  <c r="N12" i="8" s="1"/>
  <c r="O12" i="8" s="1"/>
  <c r="P12" i="8" s="1"/>
  <c r="Q12" i="8" s="1"/>
  <c r="R12" i="8" s="1"/>
  <c r="C9" i="8"/>
  <c r="B9" i="8"/>
  <c r="C6" i="8"/>
  <c r="E6" i="8" s="1"/>
  <c r="F6" i="8" s="1"/>
  <c r="G6" i="8" s="1"/>
  <c r="H6" i="8" s="1"/>
  <c r="L24" i="8" l="1"/>
  <c r="K138" i="8"/>
  <c r="R50" i="8"/>
  <c r="R49" i="8" s="1"/>
  <c r="S48" i="8"/>
  <c r="S18" i="8"/>
  <c r="R20" i="8"/>
  <c r="R19" i="8" s="1"/>
  <c r="S42" i="8"/>
  <c r="R44" i="8"/>
  <c r="R43" i="8" s="1"/>
  <c r="S36" i="8"/>
  <c r="R38" i="8"/>
  <c r="R37" i="8" s="1"/>
  <c r="S78" i="8"/>
  <c r="R80" i="8"/>
  <c r="R79" i="8" s="1"/>
  <c r="S12" i="8"/>
  <c r="R14" i="8"/>
  <c r="R13" i="8" s="1"/>
  <c r="Q144" i="8"/>
  <c r="Q282" i="7"/>
  <c r="P281" i="7"/>
  <c r="P282" i="7" s="1"/>
  <c r="G66" i="8"/>
  <c r="H66" i="8" s="1"/>
  <c r="I66" i="8" s="1"/>
  <c r="J66" i="8" s="1"/>
  <c r="K66" i="8" s="1"/>
  <c r="L66" i="8" s="1"/>
  <c r="M66" i="8" s="1"/>
  <c r="N66" i="8" s="1"/>
  <c r="O66" i="8" s="1"/>
  <c r="P66" i="8" s="1"/>
  <c r="Q66" i="8" s="1"/>
  <c r="R66" i="8" s="1"/>
  <c r="B3" i="8"/>
  <c r="B5" i="8" s="1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C145" i="8"/>
  <c r="E224" i="4" s="1"/>
  <c r="B145" i="8"/>
  <c r="C137" i="8"/>
  <c r="C125" i="8"/>
  <c r="C119" i="8"/>
  <c r="C113" i="8"/>
  <c r="C83" i="8"/>
  <c r="B83" i="8"/>
  <c r="B86" i="8" s="1"/>
  <c r="B85" i="8" s="1"/>
  <c r="C77" i="8"/>
  <c r="B71" i="8"/>
  <c r="B65" i="8"/>
  <c r="B59" i="8"/>
  <c r="B53" i="8"/>
  <c r="C47" i="8"/>
  <c r="B47" i="8"/>
  <c r="C41" i="8"/>
  <c r="B41" i="8"/>
  <c r="B35" i="8"/>
  <c r="C35" i="8"/>
  <c r="C29" i="8"/>
  <c r="B29" i="8"/>
  <c r="C23" i="8"/>
  <c r="C26" i="8" s="1"/>
  <c r="C25" i="8" s="1"/>
  <c r="B23" i="8"/>
  <c r="C17" i="8"/>
  <c r="C20" i="8" s="1"/>
  <c r="C19" i="8" s="1"/>
  <c r="B17" i="8"/>
  <c r="C11" i="8"/>
  <c r="B11" i="8"/>
  <c r="C2" i="8"/>
  <c r="D2" i="8" s="1"/>
  <c r="E2" i="8" s="1"/>
  <c r="F2" i="8" s="1"/>
  <c r="G2" i="8" s="1"/>
  <c r="H2" i="8" s="1"/>
  <c r="I2" i="8" s="1"/>
  <c r="J2" i="8" s="1"/>
  <c r="K2" i="8" s="1"/>
  <c r="L2" i="8" s="1"/>
  <c r="M2" i="8" s="1"/>
  <c r="N2" i="8" s="1"/>
  <c r="O2" i="8" s="1"/>
  <c r="P2" i="8" s="1"/>
  <c r="Q2" i="8" s="1"/>
  <c r="R2" i="8" s="1"/>
  <c r="S2" i="8" s="1"/>
  <c r="T2" i="8" s="1"/>
  <c r="C281" i="7"/>
  <c r="C264" i="7"/>
  <c r="C266" i="7" s="1"/>
  <c r="C258" i="7"/>
  <c r="C260" i="7" s="1"/>
  <c r="C252" i="7"/>
  <c r="C254" i="7" s="1"/>
  <c r="T48" i="8" l="1"/>
  <c r="T50" i="8" s="1"/>
  <c r="T49" i="8" s="1"/>
  <c r="S50" i="8"/>
  <c r="S49" i="8" s="1"/>
  <c r="T78" i="8"/>
  <c r="T80" i="8" s="1"/>
  <c r="T79" i="8" s="1"/>
  <c r="S80" i="8"/>
  <c r="S79" i="8" s="1"/>
  <c r="T42" i="8"/>
  <c r="T44" i="8" s="1"/>
  <c r="T43" i="8" s="1"/>
  <c r="S44" i="8"/>
  <c r="S43" i="8" s="1"/>
  <c r="S66" i="8"/>
  <c r="R68" i="8"/>
  <c r="R67" i="8" s="1"/>
  <c r="T36" i="8"/>
  <c r="T38" i="8" s="1"/>
  <c r="T37" i="8" s="1"/>
  <c r="S38" i="8"/>
  <c r="S37" i="8" s="1"/>
  <c r="T18" i="8"/>
  <c r="T20" i="8" s="1"/>
  <c r="T19" i="8" s="1"/>
  <c r="S20" i="8"/>
  <c r="S19" i="8" s="1"/>
  <c r="M24" i="8"/>
  <c r="L138" i="8"/>
  <c r="T12" i="8"/>
  <c r="T14" i="8" s="1"/>
  <c r="T13" i="8" s="1"/>
  <c r="S14" i="8"/>
  <c r="S13" i="8" s="1"/>
  <c r="J6" i="8"/>
  <c r="K6" i="8" s="1"/>
  <c r="L6" i="8" s="1"/>
  <c r="M6" i="8" s="1"/>
  <c r="N6" i="8" s="1"/>
  <c r="O6" i="8" s="1"/>
  <c r="P6" i="8" s="1"/>
  <c r="Q6" i="8" s="1"/>
  <c r="R6" i="8" s="1"/>
  <c r="B32" i="8"/>
  <c r="B31" i="8" s="1"/>
  <c r="B44" i="8"/>
  <c r="B43" i="8" s="1"/>
  <c r="B56" i="8"/>
  <c r="B55" i="8" s="1"/>
  <c r="B68" i="8"/>
  <c r="B67" i="8" s="1"/>
  <c r="B14" i="8"/>
  <c r="B13" i="8" s="1"/>
  <c r="C14" i="8"/>
  <c r="C13" i="8" s="1"/>
  <c r="C86" i="8"/>
  <c r="C85" i="8" s="1"/>
  <c r="C116" i="8"/>
  <c r="C115" i="8" s="1"/>
  <c r="B8" i="8"/>
  <c r="B20" i="8"/>
  <c r="B19" i="8" s="1"/>
  <c r="B26" i="8"/>
  <c r="B25" i="8" s="1"/>
  <c r="C38" i="8"/>
  <c r="C37" i="8" s="1"/>
  <c r="B38" i="8"/>
  <c r="B37" i="8" s="1"/>
  <c r="C50" i="8"/>
  <c r="C49" i="8" s="1"/>
  <c r="B50" i="8"/>
  <c r="B49" i="8" s="1"/>
  <c r="B62" i="8"/>
  <c r="B61" i="8" s="1"/>
  <c r="C122" i="8"/>
  <c r="C121" i="8" s="1"/>
  <c r="B142" i="8"/>
  <c r="B148" i="8" s="1"/>
  <c r="C32" i="8"/>
  <c r="C31" i="8" s="1"/>
  <c r="C44" i="8"/>
  <c r="C43" i="8" s="1"/>
  <c r="C80" i="8"/>
  <c r="C79" i="8" s="1"/>
  <c r="B74" i="8"/>
  <c r="B73" i="8" s="1"/>
  <c r="C128" i="8"/>
  <c r="C127" i="8" s="1"/>
  <c r="C140" i="8"/>
  <c r="C139" i="8" s="1"/>
  <c r="T66" i="8" l="1"/>
  <c r="T68" i="8" s="1"/>
  <c r="T67" i="8" s="1"/>
  <c r="S68" i="8"/>
  <c r="S67" i="8" s="1"/>
  <c r="N24" i="8"/>
  <c r="M138" i="8"/>
  <c r="S6" i="8"/>
  <c r="R8" i="8"/>
  <c r="B149" i="8"/>
  <c r="B150" i="8" s="1"/>
  <c r="B151" i="8" s="1"/>
  <c r="B7" i="8"/>
  <c r="O24" i="8" l="1"/>
  <c r="N138" i="8"/>
  <c r="R7" i="8"/>
  <c r="T6" i="8"/>
  <c r="T8" i="8" s="1"/>
  <c r="S8" i="8"/>
  <c r="C246" i="7"/>
  <c r="C248" i="7" s="1"/>
  <c r="P24" i="8" l="1"/>
  <c r="O138" i="8"/>
  <c r="S7" i="8"/>
  <c r="T7" i="8"/>
  <c r="B79" i="7"/>
  <c r="B80" i="7" s="1"/>
  <c r="C218" i="7"/>
  <c r="B218" i="7"/>
  <c r="B221" i="7" s="1"/>
  <c r="B220" i="7" s="1"/>
  <c r="C212" i="7"/>
  <c r="P138" i="8" l="1"/>
  <c r="Q24" i="8"/>
  <c r="B204" i="7"/>
  <c r="B206" i="7" s="1"/>
  <c r="B198" i="7"/>
  <c r="B200" i="7" s="1"/>
  <c r="C133" i="7"/>
  <c r="C134" i="7" s="1"/>
  <c r="C127" i="7"/>
  <c r="C128" i="7" s="1"/>
  <c r="C121" i="7"/>
  <c r="C122" i="7" s="1"/>
  <c r="B192" i="7"/>
  <c r="B194" i="7" s="1"/>
  <c r="B186" i="7"/>
  <c r="B188" i="7" s="1"/>
  <c r="B180" i="7"/>
  <c r="B182" i="7" s="1"/>
  <c r="B168" i="7"/>
  <c r="B170" i="7" s="1"/>
  <c r="B162" i="7"/>
  <c r="B164" i="7" s="1"/>
  <c r="B156" i="7"/>
  <c r="B158" i="7" s="1"/>
  <c r="B150" i="7"/>
  <c r="B152" i="7" s="1"/>
  <c r="B144" i="7"/>
  <c r="B146" i="7" s="1"/>
  <c r="B138" i="7"/>
  <c r="B140" i="7" s="1"/>
  <c r="C137" i="7"/>
  <c r="D137" i="7" s="1"/>
  <c r="E137" i="7" s="1"/>
  <c r="F137" i="7" s="1"/>
  <c r="G137" i="7" s="1"/>
  <c r="H137" i="7" s="1"/>
  <c r="I137" i="7" s="1"/>
  <c r="J137" i="7" s="1"/>
  <c r="K137" i="7" s="1"/>
  <c r="L137" i="7" s="1"/>
  <c r="M137" i="7" s="1"/>
  <c r="N137" i="7" s="1"/>
  <c r="O137" i="7" s="1"/>
  <c r="P137" i="7" s="1"/>
  <c r="Q137" i="7" s="1"/>
  <c r="C83" i="7"/>
  <c r="C85" i="7" s="1"/>
  <c r="C86" i="7" s="1"/>
  <c r="C115" i="7"/>
  <c r="C116" i="7" s="1"/>
  <c r="C223" i="4"/>
  <c r="C225" i="4" s="1"/>
  <c r="D223" i="4"/>
  <c r="D225" i="4" s="1"/>
  <c r="B223" i="4"/>
  <c r="B225" i="4" s="1"/>
  <c r="C222" i="4"/>
  <c r="D222" i="4" s="1"/>
  <c r="E222" i="4" s="1"/>
  <c r="F222" i="4" s="1"/>
  <c r="G222" i="4" s="1"/>
  <c r="H222" i="4" s="1"/>
  <c r="I222" i="4" s="1"/>
  <c r="J222" i="4" s="1"/>
  <c r="K222" i="4" s="1"/>
  <c r="L222" i="4" s="1"/>
  <c r="M222" i="4" s="1"/>
  <c r="N222" i="4" s="1"/>
  <c r="O222" i="4" s="1"/>
  <c r="P222" i="4" s="1"/>
  <c r="Q222" i="4" s="1"/>
  <c r="R222" i="4" s="1"/>
  <c r="R24" i="8" l="1"/>
  <c r="Q138" i="8"/>
  <c r="S267" i="7"/>
  <c r="S269" i="7" s="1"/>
  <c r="S268" i="7" s="1"/>
  <c r="T267" i="7"/>
  <c r="T269" i="7" s="1"/>
  <c r="T268" i="7" s="1"/>
  <c r="R267" i="7"/>
  <c r="R269" i="7" s="1"/>
  <c r="R268" i="7" s="1"/>
  <c r="C273" i="7"/>
  <c r="C275" i="7" s="1"/>
  <c r="C274" i="7" s="1"/>
  <c r="Q267" i="7"/>
  <c r="D267" i="7"/>
  <c r="F267" i="7"/>
  <c r="H267" i="7"/>
  <c r="J267" i="7"/>
  <c r="L267" i="7"/>
  <c r="N267" i="7"/>
  <c r="P267" i="7"/>
  <c r="E267" i="7"/>
  <c r="I267" i="7"/>
  <c r="M267" i="7"/>
  <c r="C267" i="7"/>
  <c r="C269" i="7" s="1"/>
  <c r="C268" i="7" s="1"/>
  <c r="G267" i="7"/>
  <c r="O267" i="7"/>
  <c r="K267" i="7"/>
  <c r="C249" i="7"/>
  <c r="C251" i="7" s="1"/>
  <c r="C250" i="7" s="1"/>
  <c r="C255" i="7"/>
  <c r="C257" i="7" s="1"/>
  <c r="C256" i="7" s="1"/>
  <c r="C261" i="7"/>
  <c r="C263" i="7" s="1"/>
  <c r="C262" i="7" s="1"/>
  <c r="C213" i="7"/>
  <c r="C215" i="7" s="1"/>
  <c r="C214" i="7" s="1"/>
  <c r="C216" i="4"/>
  <c r="D216" i="4" s="1"/>
  <c r="E216" i="4" s="1"/>
  <c r="F216" i="4" s="1"/>
  <c r="G216" i="4" s="1"/>
  <c r="H216" i="4" s="1"/>
  <c r="I216" i="4" s="1"/>
  <c r="J216" i="4" s="1"/>
  <c r="K216" i="4" s="1"/>
  <c r="L216" i="4" s="1"/>
  <c r="M216" i="4" s="1"/>
  <c r="N216" i="4" s="1"/>
  <c r="O216" i="4" s="1"/>
  <c r="P216" i="4" s="1"/>
  <c r="Q216" i="4" s="1"/>
  <c r="R216" i="4" s="1"/>
  <c r="S24" i="8" l="1"/>
  <c r="R138" i="8"/>
  <c r="R140" i="8" s="1"/>
  <c r="R139" i="8" s="1"/>
  <c r="R26" i="8"/>
  <c r="C79" i="7"/>
  <c r="C80" i="7" s="1"/>
  <c r="C73" i="7"/>
  <c r="C74" i="7" s="1"/>
  <c r="C147" i="7" s="1"/>
  <c r="B73" i="7"/>
  <c r="B74" i="7" s="1"/>
  <c r="C67" i="7"/>
  <c r="C68" i="7" s="1"/>
  <c r="C141" i="7" s="1"/>
  <c r="B67" i="7"/>
  <c r="B68" i="7" s="1"/>
  <c r="C61" i="7"/>
  <c r="C62" i="7" s="1"/>
  <c r="C153" i="7" s="1"/>
  <c r="B61" i="7"/>
  <c r="B62" i="7" s="1"/>
  <c r="R25" i="8" l="1"/>
  <c r="R149" i="8"/>
  <c r="R150" i="8" s="1"/>
  <c r="R151" i="8" s="1"/>
  <c r="T24" i="8"/>
  <c r="S138" i="8"/>
  <c r="S140" i="8" s="1"/>
  <c r="S139" i="8" s="1"/>
  <c r="S26" i="8"/>
  <c r="C219" i="7"/>
  <c r="C221" i="7" s="1"/>
  <c r="C220" i="7" s="1"/>
  <c r="B153" i="7"/>
  <c r="B155" i="7" s="1"/>
  <c r="B154" i="7" s="1"/>
  <c r="B141" i="7"/>
  <c r="B143" i="7" s="1"/>
  <c r="D147" i="7"/>
  <c r="B147" i="7"/>
  <c r="B149" i="7" s="1"/>
  <c r="B148" i="7" s="1"/>
  <c r="C48" i="7"/>
  <c r="B48" i="7"/>
  <c r="C47" i="7"/>
  <c r="C49" i="7" s="1"/>
  <c r="C50" i="7" s="1"/>
  <c r="C177" i="7" s="1"/>
  <c r="B47" i="7"/>
  <c r="C55" i="7"/>
  <c r="C56" i="7" s="1"/>
  <c r="C171" i="7" s="1"/>
  <c r="B55" i="7"/>
  <c r="B56" i="7" s="1"/>
  <c r="B171" i="7" s="1"/>
  <c r="B173" i="7" s="1"/>
  <c r="B172" i="7" s="1"/>
  <c r="B49" i="7"/>
  <c r="B50" i="7" s="1"/>
  <c r="B177" i="7" s="1"/>
  <c r="C43" i="7"/>
  <c r="C44" i="7" s="1"/>
  <c r="C183" i="7" s="1"/>
  <c r="B43" i="7"/>
  <c r="B44" i="7" s="1"/>
  <c r="B183" i="7" s="1"/>
  <c r="B185" i="7" s="1"/>
  <c r="B184" i="7" s="1"/>
  <c r="C37" i="7"/>
  <c r="C38" i="7" s="1"/>
  <c r="C207" i="7" s="1"/>
  <c r="B37" i="7"/>
  <c r="B38" i="7" s="1"/>
  <c r="B207" i="7" s="1"/>
  <c r="B209" i="7" s="1"/>
  <c r="B208" i="7" s="1"/>
  <c r="C31" i="7"/>
  <c r="C32" i="7" s="1"/>
  <c r="C195" i="7" s="1"/>
  <c r="B31" i="7"/>
  <c r="B32" i="7" s="1"/>
  <c r="B195" i="7" s="1"/>
  <c r="B197" i="7" s="1"/>
  <c r="B196" i="7" s="1"/>
  <c r="C25" i="7"/>
  <c r="C26" i="7" s="1"/>
  <c r="C201" i="7" s="1"/>
  <c r="B25" i="7"/>
  <c r="B26" i="7" s="1"/>
  <c r="B201" i="7" s="1"/>
  <c r="B203" i="7" s="1"/>
  <c r="B202" i="7" s="1"/>
  <c r="C19" i="7"/>
  <c r="C20" i="7" s="1"/>
  <c r="C165" i="7" s="1"/>
  <c r="B19" i="7"/>
  <c r="B20" i="7" s="1"/>
  <c r="B165" i="7" s="1"/>
  <c r="B167" i="7" s="1"/>
  <c r="B166" i="7" s="1"/>
  <c r="C13" i="7"/>
  <c r="C14" i="7" s="1"/>
  <c r="C189" i="7" s="1"/>
  <c r="B13" i="7"/>
  <c r="B14" i="7" s="1"/>
  <c r="B189" i="7" s="1"/>
  <c r="B191" i="7" s="1"/>
  <c r="B190" i="7" s="1"/>
  <c r="C7" i="7"/>
  <c r="C8" i="7" s="1"/>
  <c r="C159" i="7" s="1"/>
  <c r="B7" i="7"/>
  <c r="B8" i="7" s="1"/>
  <c r="B159" i="7" s="1"/>
  <c r="B161" i="7" s="1"/>
  <c r="B160" i="7" s="1"/>
  <c r="T138" i="8" l="1"/>
  <c r="T140" i="8" s="1"/>
  <c r="T139" i="8" s="1"/>
  <c r="T26" i="8"/>
  <c r="S25" i="8"/>
  <c r="S149" i="8"/>
  <c r="S150" i="8" s="1"/>
  <c r="S151" i="8" s="1"/>
  <c r="B142" i="7"/>
  <c r="D219" i="7"/>
  <c r="D153" i="7"/>
  <c r="T25" i="8" l="1"/>
  <c r="T149" i="8"/>
  <c r="T150" i="8" s="1"/>
  <c r="T151" i="8" s="1"/>
  <c r="D207" i="7"/>
  <c r="F207" i="7" s="1"/>
  <c r="G207" i="7" s="1"/>
  <c r="H207" i="7" s="1"/>
  <c r="I207" i="7" s="1"/>
  <c r="J207" i="7" s="1"/>
  <c r="K207" i="7" s="1"/>
  <c r="L207" i="7" s="1"/>
  <c r="M207" i="7" s="1"/>
  <c r="N207" i="7" s="1"/>
  <c r="O207" i="7" s="1"/>
  <c r="P207" i="7" s="1"/>
  <c r="Q207" i="7" s="1"/>
  <c r="R207" i="7" s="1"/>
  <c r="D189" i="7"/>
  <c r="D201" i="7"/>
  <c r="F201" i="7" s="1"/>
  <c r="G201" i="7" s="1"/>
  <c r="H201" i="7" s="1"/>
  <c r="I201" i="7" s="1"/>
  <c r="J201" i="7" s="1"/>
  <c r="K201" i="7" s="1"/>
  <c r="L201" i="7" s="1"/>
  <c r="M201" i="7" s="1"/>
  <c r="N201" i="7" s="1"/>
  <c r="O201" i="7" s="1"/>
  <c r="P201" i="7" s="1"/>
  <c r="Q201" i="7" s="1"/>
  <c r="R201" i="7" s="1"/>
  <c r="D183" i="7"/>
  <c r="D177" i="7"/>
  <c r="D195" i="7"/>
  <c r="F195" i="7" s="1"/>
  <c r="G195" i="7" s="1"/>
  <c r="H195" i="7" s="1"/>
  <c r="I195" i="7" s="1"/>
  <c r="J195" i="7" s="1"/>
  <c r="K195" i="7" s="1"/>
  <c r="L195" i="7" s="1"/>
  <c r="M195" i="7" s="1"/>
  <c r="N195" i="7" s="1"/>
  <c r="O195" i="7" s="1"/>
  <c r="P195" i="7" s="1"/>
  <c r="Q195" i="7" s="1"/>
  <c r="R195" i="7" s="1"/>
  <c r="D171" i="7"/>
  <c r="D165" i="7"/>
  <c r="G165" i="7" s="1"/>
  <c r="C190" i="4"/>
  <c r="D190" i="4" s="1"/>
  <c r="E190" i="4" s="1"/>
  <c r="F190" i="4" s="1"/>
  <c r="G190" i="4" s="1"/>
  <c r="H190" i="4" s="1"/>
  <c r="I190" i="4" s="1"/>
  <c r="J190" i="4" s="1"/>
  <c r="K190" i="4" s="1"/>
  <c r="L190" i="4" s="1"/>
  <c r="M190" i="4" s="1"/>
  <c r="N190" i="4" s="1"/>
  <c r="O190" i="4" s="1"/>
  <c r="P190" i="4" s="1"/>
  <c r="Q190" i="4" s="1"/>
  <c r="R190" i="4" s="1"/>
  <c r="S190" i="4" s="1"/>
  <c r="C172" i="4"/>
  <c r="J165" i="4"/>
  <c r="K165" i="4" s="1"/>
  <c r="L165" i="4" s="1"/>
  <c r="M165" i="4" s="1"/>
  <c r="N165" i="4" s="1"/>
  <c r="O165" i="4" s="1"/>
  <c r="P165" i="4" s="1"/>
  <c r="Q165" i="4" s="1"/>
  <c r="R165" i="4" s="1"/>
  <c r="S165" i="4" s="1"/>
  <c r="C164" i="4"/>
  <c r="D164" i="4" s="1"/>
  <c r="E164" i="4" s="1"/>
  <c r="F164" i="4" s="1"/>
  <c r="G164" i="4" s="1"/>
  <c r="H164" i="4" s="1"/>
  <c r="I164" i="4" s="1"/>
  <c r="J164" i="4" s="1"/>
  <c r="K164" i="4" s="1"/>
  <c r="L164" i="4" s="1"/>
  <c r="M164" i="4" s="1"/>
  <c r="N164" i="4" s="1"/>
  <c r="O164" i="4" s="1"/>
  <c r="P164" i="4" s="1"/>
  <c r="Q164" i="4" s="1"/>
  <c r="R164" i="4" s="1"/>
  <c r="S164" i="4" s="1"/>
  <c r="Q183" i="7" l="1"/>
  <c r="R183" i="7"/>
  <c r="R185" i="7" s="1"/>
  <c r="R184" i="7" s="1"/>
  <c r="S183" i="7"/>
  <c r="S185" i="7" s="1"/>
  <c r="S184" i="7" s="1"/>
  <c r="T183" i="7"/>
  <c r="T185" i="7" s="1"/>
  <c r="T184" i="7" s="1"/>
  <c r="S201" i="7"/>
  <c r="R203" i="7"/>
  <c r="R202" i="7" s="1"/>
  <c r="S195" i="7"/>
  <c r="R197" i="7"/>
  <c r="R196" i="7" s="1"/>
  <c r="Q189" i="7"/>
  <c r="T189" i="7"/>
  <c r="T191" i="7" s="1"/>
  <c r="T190" i="7" s="1"/>
  <c r="R189" i="7"/>
  <c r="R191" i="7" s="1"/>
  <c r="R190" i="7" s="1"/>
  <c r="S189" i="7"/>
  <c r="S191" i="7" s="1"/>
  <c r="S190" i="7" s="1"/>
  <c r="Q177" i="7"/>
  <c r="R177" i="7"/>
  <c r="R179" i="7" s="1"/>
  <c r="S177" i="7"/>
  <c r="S179" i="7" s="1"/>
  <c r="T177" i="7"/>
  <c r="T179" i="7" s="1"/>
  <c r="R209" i="7"/>
  <c r="R208" i="7" s="1"/>
  <c r="S207" i="7"/>
  <c r="F165" i="7"/>
  <c r="G183" i="7"/>
  <c r="K183" i="7"/>
  <c r="O183" i="7"/>
  <c r="H183" i="7"/>
  <c r="L183" i="7"/>
  <c r="P183" i="7"/>
  <c r="I183" i="7"/>
  <c r="M183" i="7"/>
  <c r="F183" i="7"/>
  <c r="N183" i="7"/>
  <c r="J183" i="7"/>
  <c r="G189" i="7"/>
  <c r="K189" i="7"/>
  <c r="O189" i="7"/>
  <c r="H189" i="7"/>
  <c r="L189" i="7"/>
  <c r="P189" i="7"/>
  <c r="J189" i="7"/>
  <c r="N189" i="7"/>
  <c r="I189" i="7"/>
  <c r="M189" i="7"/>
  <c r="F189" i="7"/>
  <c r="J177" i="7"/>
  <c r="N177" i="7"/>
  <c r="G177" i="7"/>
  <c r="K177" i="7"/>
  <c r="O177" i="7"/>
  <c r="H177" i="7"/>
  <c r="L177" i="7"/>
  <c r="P177" i="7"/>
  <c r="I177" i="7"/>
  <c r="M177" i="7"/>
  <c r="F177" i="7"/>
  <c r="D172" i="4"/>
  <c r="C136" i="4"/>
  <c r="D136" i="4" s="1"/>
  <c r="E136" i="4" s="1"/>
  <c r="F136" i="4" s="1"/>
  <c r="G136" i="4" s="1"/>
  <c r="H136" i="4" s="1"/>
  <c r="I136" i="4" s="1"/>
  <c r="J136" i="4" s="1"/>
  <c r="K136" i="4" s="1"/>
  <c r="L136" i="4" s="1"/>
  <c r="M136" i="4" s="1"/>
  <c r="N136" i="4" s="1"/>
  <c r="O136" i="4" s="1"/>
  <c r="P136" i="4" s="1"/>
  <c r="Q136" i="4" s="1"/>
  <c r="R136" i="4" s="1"/>
  <c r="S136" i="4" s="1"/>
  <c r="T178" i="7" l="1"/>
  <c r="S178" i="7"/>
  <c r="T195" i="7"/>
  <c r="T197" i="7" s="1"/>
  <c r="T196" i="7" s="1"/>
  <c r="S197" i="7"/>
  <c r="S196" i="7" s="1"/>
  <c r="T207" i="7"/>
  <c r="T209" i="7" s="1"/>
  <c r="T208" i="7" s="1"/>
  <c r="S209" i="7"/>
  <c r="S208" i="7" s="1"/>
  <c r="R178" i="7"/>
  <c r="R285" i="7"/>
  <c r="R286" i="7" s="1"/>
  <c r="R287" i="7" s="1"/>
  <c r="T201" i="7"/>
  <c r="T203" i="7" s="1"/>
  <c r="T202" i="7" s="1"/>
  <c r="S203" i="7"/>
  <c r="S202" i="7" s="1"/>
  <c r="E172" i="4"/>
  <c r="C110" i="4"/>
  <c r="D110" i="4" s="1"/>
  <c r="E110" i="4" s="1"/>
  <c r="F110" i="4" s="1"/>
  <c r="G110" i="4" s="1"/>
  <c r="H110" i="4" s="1"/>
  <c r="I110" i="4" s="1"/>
  <c r="J110" i="4" s="1"/>
  <c r="K110" i="4" s="1"/>
  <c r="L110" i="4" s="1"/>
  <c r="M110" i="4" s="1"/>
  <c r="N110" i="4" s="1"/>
  <c r="O110" i="4" s="1"/>
  <c r="P110" i="4" s="1"/>
  <c r="Q110" i="4" s="1"/>
  <c r="R110" i="4" s="1"/>
  <c r="S110" i="4" s="1"/>
  <c r="D90" i="4"/>
  <c r="C90" i="4"/>
  <c r="C217" i="4" s="1"/>
  <c r="C219" i="4" s="1"/>
  <c r="B90" i="4"/>
  <c r="B217" i="4" s="1"/>
  <c r="B219" i="4" s="1"/>
  <c r="C82" i="4"/>
  <c r="D82" i="4" s="1"/>
  <c r="E82" i="4" s="1"/>
  <c r="F82" i="4" s="1"/>
  <c r="G82" i="4" s="1"/>
  <c r="H82" i="4" s="1"/>
  <c r="I82" i="4" s="1"/>
  <c r="J82" i="4" s="1"/>
  <c r="K82" i="4" s="1"/>
  <c r="L82" i="4" s="1"/>
  <c r="M82" i="4" s="1"/>
  <c r="N82" i="4" s="1"/>
  <c r="O82" i="4" s="1"/>
  <c r="P82" i="4" s="1"/>
  <c r="Q82" i="4" s="1"/>
  <c r="R82" i="4" s="1"/>
  <c r="S82" i="4" s="1"/>
  <c r="S285" i="7" l="1"/>
  <c r="S286" i="7" s="1"/>
  <c r="S287" i="7" s="1"/>
  <c r="T285" i="7"/>
  <c r="T286" i="7" s="1"/>
  <c r="T287" i="7" s="1"/>
  <c r="D217" i="4"/>
  <c r="D219" i="4" s="1"/>
  <c r="B174" i="7"/>
  <c r="F172" i="4"/>
  <c r="B176" i="7" l="1"/>
  <c r="B179" i="7" s="1"/>
  <c r="B278" i="7"/>
  <c r="G172" i="4"/>
  <c r="B284" i="7" l="1"/>
  <c r="B178" i="7"/>
  <c r="B285" i="7"/>
  <c r="H172" i="4"/>
  <c r="B286" i="7" l="1"/>
  <c r="B287" i="7" s="1"/>
  <c r="I172" i="4"/>
  <c r="J172" i="4" l="1"/>
  <c r="K172" i="4" l="1"/>
  <c r="L172" i="4" l="1"/>
  <c r="M172" i="4" l="1"/>
  <c r="N172" i="4" l="1"/>
  <c r="O172" i="4" l="1"/>
  <c r="P172" i="4" l="1"/>
  <c r="Q172" i="4" l="1"/>
  <c r="R172" i="4" l="1"/>
  <c r="S172" i="4" s="1"/>
  <c r="C55" i="4" l="1"/>
  <c r="D55" i="4" s="1"/>
  <c r="E55" i="4" s="1"/>
  <c r="F55" i="4" s="1"/>
  <c r="G55" i="4" s="1"/>
  <c r="H55" i="4" s="1"/>
  <c r="I55" i="4" s="1"/>
  <c r="J55" i="4" s="1"/>
  <c r="K55" i="4" s="1"/>
  <c r="L55" i="4" s="1"/>
  <c r="M55" i="4" s="1"/>
  <c r="N55" i="4" s="1"/>
  <c r="O55" i="4" s="1"/>
  <c r="P55" i="4" s="1"/>
  <c r="Q55" i="4" s="1"/>
  <c r="R55" i="4" s="1"/>
  <c r="S55" i="4" s="1"/>
  <c r="C50" i="4" l="1"/>
  <c r="D50" i="4" s="1"/>
  <c r="E50" i="4" s="1"/>
  <c r="F50" i="4" s="1"/>
  <c r="G50" i="4" s="1"/>
  <c r="H50" i="4" s="1"/>
  <c r="I50" i="4" s="1"/>
  <c r="J50" i="4" s="1"/>
  <c r="K50" i="4" s="1"/>
  <c r="L50" i="4" s="1"/>
  <c r="M50" i="4" s="1"/>
  <c r="N50" i="4" s="1"/>
  <c r="O50" i="4" s="1"/>
  <c r="P50" i="4" s="1"/>
  <c r="Q50" i="4" s="1"/>
  <c r="R50" i="4" s="1"/>
  <c r="S50" i="4" s="1"/>
  <c r="C51" i="4"/>
  <c r="D51" i="4" s="1"/>
  <c r="E51" i="4" s="1"/>
  <c r="F51" i="4" s="1"/>
  <c r="G51" i="4" s="1"/>
  <c r="H51" i="4" s="1"/>
  <c r="I51" i="4" s="1"/>
  <c r="J51" i="4" s="1"/>
  <c r="K51" i="4" s="1"/>
  <c r="L51" i="4" s="1"/>
  <c r="M51" i="4" s="1"/>
  <c r="N51" i="4" s="1"/>
  <c r="O51" i="4" s="1"/>
  <c r="P51" i="4" s="1"/>
  <c r="Q51" i="4" s="1"/>
  <c r="R51" i="4" s="1"/>
  <c r="S51" i="4" s="1"/>
  <c r="C52" i="4"/>
  <c r="D52" i="4" s="1"/>
  <c r="E52" i="4" s="1"/>
  <c r="F52" i="4" s="1"/>
  <c r="G52" i="4" s="1"/>
  <c r="H52" i="4" s="1"/>
  <c r="I52" i="4" s="1"/>
  <c r="J52" i="4" s="1"/>
  <c r="K52" i="4" s="1"/>
  <c r="L52" i="4" s="1"/>
  <c r="M52" i="4" s="1"/>
  <c r="N52" i="4" s="1"/>
  <c r="O52" i="4" s="1"/>
  <c r="P52" i="4" s="1"/>
  <c r="Q52" i="4" s="1"/>
  <c r="R52" i="4" s="1"/>
  <c r="S52" i="4" s="1"/>
  <c r="C49" i="4"/>
  <c r="D49" i="4" s="1"/>
  <c r="E49" i="4" s="1"/>
  <c r="F49" i="4" s="1"/>
  <c r="G49" i="4" s="1"/>
  <c r="H49" i="4" s="1"/>
  <c r="I49" i="4" s="1"/>
  <c r="J49" i="4" s="1"/>
  <c r="K49" i="4" s="1"/>
  <c r="L49" i="4" s="1"/>
  <c r="M49" i="4" s="1"/>
  <c r="N49" i="4" s="1"/>
  <c r="O49" i="4" s="1"/>
  <c r="P49" i="4" s="1"/>
  <c r="Q49" i="4" s="1"/>
  <c r="R49" i="4" s="1"/>
  <c r="S49" i="4" s="1"/>
  <c r="C43" i="4"/>
  <c r="D43" i="4" s="1"/>
  <c r="E43" i="4" s="1"/>
  <c r="C42" i="4"/>
  <c r="D42" i="4" s="1"/>
  <c r="E42" i="4" s="1"/>
  <c r="G42" i="4" s="1"/>
  <c r="H42" i="4" s="1"/>
  <c r="I42" i="4" s="1"/>
  <c r="J42" i="4" s="1"/>
  <c r="K42" i="4" s="1"/>
  <c r="L42" i="4" s="1"/>
  <c r="M42" i="4" s="1"/>
  <c r="N42" i="4" s="1"/>
  <c r="O42" i="4" s="1"/>
  <c r="P42" i="4" s="1"/>
  <c r="Q42" i="4" s="1"/>
  <c r="R42" i="4" s="1"/>
  <c r="S42" i="4" s="1"/>
  <c r="C35" i="4"/>
  <c r="D35" i="4"/>
  <c r="E35" i="4"/>
  <c r="B35" i="4"/>
  <c r="C29" i="4" l="1"/>
  <c r="D29" i="4" s="1"/>
  <c r="E29" i="4" s="1"/>
  <c r="F29" i="4" s="1"/>
  <c r="G29" i="4" s="1"/>
  <c r="H29" i="4" s="1"/>
  <c r="I29" i="4" s="1"/>
  <c r="J29" i="4" s="1"/>
  <c r="K29" i="4" s="1"/>
  <c r="L29" i="4" s="1"/>
  <c r="M29" i="4" s="1"/>
  <c r="N29" i="4" s="1"/>
  <c r="O29" i="4" s="1"/>
  <c r="P29" i="4" s="1"/>
  <c r="Q29" i="4" s="1"/>
  <c r="R29" i="4" s="1"/>
  <c r="S29" i="4" s="1"/>
  <c r="B25" i="4" l="1"/>
  <c r="B78" i="4" s="1"/>
  <c r="B24" i="4"/>
  <c r="B77" i="4" s="1"/>
  <c r="B23" i="4"/>
  <c r="B76" i="4" s="1"/>
  <c r="B22" i="4"/>
  <c r="B75" i="4" s="1"/>
  <c r="B17" i="4"/>
  <c r="B70" i="4" s="1"/>
  <c r="B16" i="4"/>
  <c r="B15" i="4"/>
  <c r="B68" i="4" s="1"/>
  <c r="B123" i="4" s="1"/>
  <c r="B177" i="4" s="1"/>
  <c r="B14" i="4"/>
  <c r="B13" i="4"/>
  <c r="B12" i="4"/>
  <c r="B11" i="4"/>
  <c r="B38" i="4" s="1"/>
  <c r="B10" i="4"/>
  <c r="B198" i="4" s="1"/>
  <c r="B9" i="4"/>
  <c r="B8" i="4"/>
  <c r="B61" i="4" s="1"/>
  <c r="B116" i="4" s="1"/>
  <c r="B170" i="4" s="1"/>
  <c r="B6" i="4"/>
  <c r="B5" i="4"/>
  <c r="B4" i="4"/>
  <c r="B3" i="4"/>
  <c r="C2" i="4"/>
  <c r="D2" i="4" s="1"/>
  <c r="E2" i="4" s="1"/>
  <c r="F2" i="4" s="1"/>
  <c r="G2" i="4" s="1"/>
  <c r="H2" i="4" s="1"/>
  <c r="I2" i="4" s="1"/>
  <c r="J2" i="4" s="1"/>
  <c r="K2" i="4" s="1"/>
  <c r="L2" i="4" s="1"/>
  <c r="M2" i="4" s="1"/>
  <c r="N2" i="4" s="1"/>
  <c r="O2" i="4" s="1"/>
  <c r="P2" i="4" s="1"/>
  <c r="Q2" i="4" s="1"/>
  <c r="R2" i="4" s="1"/>
  <c r="S2" i="4" s="1"/>
  <c r="C170" i="4" l="1"/>
  <c r="B196" i="4"/>
  <c r="B69" i="4"/>
  <c r="B204" i="4"/>
  <c r="B197" i="4"/>
  <c r="B40" i="4"/>
  <c r="B66" i="4" s="1"/>
  <c r="B121" i="4" s="1"/>
  <c r="B175" i="4" s="1"/>
  <c r="C177" i="4"/>
  <c r="B203" i="4"/>
  <c r="B31" i="4"/>
  <c r="C31" i="4" s="1"/>
  <c r="D31" i="4" s="1"/>
  <c r="E31" i="4" s="1"/>
  <c r="F31" i="4" s="1"/>
  <c r="G31" i="4" s="1"/>
  <c r="H31" i="4" s="1"/>
  <c r="I31" i="4" s="1"/>
  <c r="J31" i="4" s="1"/>
  <c r="K31" i="4" s="1"/>
  <c r="L31" i="4" s="1"/>
  <c r="M31" i="4" s="1"/>
  <c r="N31" i="4" s="1"/>
  <c r="O31" i="4" s="1"/>
  <c r="P31" i="4" s="1"/>
  <c r="Q31" i="4" s="1"/>
  <c r="R31" i="4" s="1"/>
  <c r="S31" i="4" s="1"/>
  <c r="B37" i="4"/>
  <c r="C37" i="4" s="1"/>
  <c r="D37" i="4" s="1"/>
  <c r="E37" i="4" s="1"/>
  <c r="F37" i="4" s="1"/>
  <c r="G37" i="4" s="1"/>
  <c r="H37" i="4" s="1"/>
  <c r="I37" i="4" s="1"/>
  <c r="J37" i="4" s="1"/>
  <c r="K37" i="4" s="1"/>
  <c r="L37" i="4" s="1"/>
  <c r="M37" i="4" s="1"/>
  <c r="N37" i="4" s="1"/>
  <c r="O37" i="4" s="1"/>
  <c r="P37" i="4" s="1"/>
  <c r="Q37" i="4" s="1"/>
  <c r="R37" i="4" s="1"/>
  <c r="S37" i="4" s="1"/>
  <c r="B39" i="4"/>
  <c r="C39" i="4" s="1"/>
  <c r="D39" i="4" s="1"/>
  <c r="E39" i="4" s="1"/>
  <c r="G39" i="4" s="1"/>
  <c r="H39" i="4" s="1"/>
  <c r="I39" i="4" s="1"/>
  <c r="J39" i="4" s="1"/>
  <c r="K39" i="4" s="1"/>
  <c r="L39" i="4" s="1"/>
  <c r="M39" i="4" s="1"/>
  <c r="N39" i="4" s="1"/>
  <c r="O39" i="4" s="1"/>
  <c r="P39" i="4" s="1"/>
  <c r="Q39" i="4" s="1"/>
  <c r="R39" i="4" s="1"/>
  <c r="S39" i="4" s="1"/>
  <c r="B41" i="4"/>
  <c r="C41" i="4" s="1"/>
  <c r="D41" i="4" s="1"/>
  <c r="E41" i="4" s="1"/>
  <c r="H41" i="4" s="1"/>
  <c r="I41" i="4" s="1"/>
  <c r="J41" i="4" s="1"/>
  <c r="K41" i="4" s="1"/>
  <c r="L41" i="4" s="1"/>
  <c r="M41" i="4" s="1"/>
  <c r="N41" i="4" s="1"/>
  <c r="O41" i="4" s="1"/>
  <c r="P41" i="4" s="1"/>
  <c r="Q41" i="4" s="1"/>
  <c r="R41" i="4" s="1"/>
  <c r="S41" i="4" s="1"/>
  <c r="B30" i="4"/>
  <c r="C30" i="4" s="1"/>
  <c r="D30" i="4" s="1"/>
  <c r="H30" i="4" s="1"/>
  <c r="B32" i="4"/>
  <c r="C32" i="4" s="1"/>
  <c r="D32" i="4" s="1"/>
  <c r="E32" i="4" s="1"/>
  <c r="G32" i="4" s="1"/>
  <c r="H32" i="4" s="1"/>
  <c r="I32" i="4" s="1"/>
  <c r="J32" i="4" s="1"/>
  <c r="K32" i="4" s="1"/>
  <c r="L32" i="4" s="1"/>
  <c r="M32" i="4" s="1"/>
  <c r="N32" i="4" s="1"/>
  <c r="O32" i="4" s="1"/>
  <c r="P32" i="4" s="1"/>
  <c r="Q32" i="4" s="1"/>
  <c r="R32" i="4" s="1"/>
  <c r="S32" i="4" s="1"/>
  <c r="B33" i="4"/>
  <c r="C33" i="4" s="1"/>
  <c r="D33" i="4" s="1"/>
  <c r="E33" i="4" s="1"/>
  <c r="F33" i="4" s="1"/>
  <c r="G33" i="4" s="1"/>
  <c r="H33" i="4" s="1"/>
  <c r="I33" i="4" s="1"/>
  <c r="J33" i="4" s="1"/>
  <c r="K33" i="4" s="1"/>
  <c r="L33" i="4" s="1"/>
  <c r="M33" i="4" s="1"/>
  <c r="N33" i="4" s="1"/>
  <c r="O33" i="4" s="1"/>
  <c r="P33" i="4" s="1"/>
  <c r="Q33" i="4" s="1"/>
  <c r="R33" i="4" s="1"/>
  <c r="S33" i="4" s="1"/>
  <c r="B36" i="4"/>
  <c r="C36" i="4" s="1"/>
  <c r="D36" i="4" s="1"/>
  <c r="E36" i="4" s="1"/>
  <c r="F36" i="4" s="1"/>
  <c r="G36" i="4" s="1"/>
  <c r="H36" i="4" s="1"/>
  <c r="I36" i="4" s="1"/>
  <c r="J36" i="4" s="1"/>
  <c r="K36" i="4" s="1"/>
  <c r="L36" i="4" s="1"/>
  <c r="M36" i="4" s="1"/>
  <c r="N36" i="4" s="1"/>
  <c r="O36" i="4" s="1"/>
  <c r="P36" i="4" s="1"/>
  <c r="Q36" i="4" s="1"/>
  <c r="R36" i="4" s="1"/>
  <c r="S36" i="4" s="1"/>
  <c r="B64" i="4"/>
  <c r="B119" i="4" s="1"/>
  <c r="B173" i="4" s="1"/>
  <c r="C38" i="4"/>
  <c r="D38" i="4" s="1"/>
  <c r="E38" i="4" s="1"/>
  <c r="G38" i="4" s="1"/>
  <c r="H38" i="4" s="1"/>
  <c r="I38" i="4" s="1"/>
  <c r="J38" i="4" s="1"/>
  <c r="K38" i="4" s="1"/>
  <c r="L38" i="4" s="1"/>
  <c r="M38" i="4" s="1"/>
  <c r="N38" i="4" s="1"/>
  <c r="O38" i="4" s="1"/>
  <c r="P38" i="4" s="1"/>
  <c r="Q38" i="4" s="1"/>
  <c r="R38" i="4" s="1"/>
  <c r="S38" i="4" s="1"/>
  <c r="C23" i="4"/>
  <c r="C14" i="4"/>
  <c r="B26" i="4"/>
  <c r="I61" i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3" i="2"/>
  <c r="C5" i="4" s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3" i="2"/>
  <c r="H58" i="1"/>
  <c r="H62" i="1"/>
  <c r="F58" i="1"/>
  <c r="F61" i="1"/>
  <c r="F62" i="1"/>
  <c r="F77" i="1"/>
  <c r="H77" i="1" s="1"/>
  <c r="H92" i="1"/>
  <c r="F92" i="1"/>
  <c r="H81" i="1"/>
  <c r="F81" i="1"/>
  <c r="H84" i="1"/>
  <c r="F84" i="1"/>
  <c r="H86" i="1"/>
  <c r="F86" i="1"/>
  <c r="H88" i="1"/>
  <c r="F88" i="1"/>
  <c r="H87" i="1"/>
  <c r="F87" i="1"/>
  <c r="H89" i="1"/>
  <c r="F89" i="1"/>
  <c r="H71" i="1"/>
  <c r="E71" i="1"/>
  <c r="I30" i="4" l="1"/>
  <c r="J30" i="4" s="1"/>
  <c r="K30" i="4" s="1"/>
  <c r="L30" i="4" s="1"/>
  <c r="M30" i="4" s="1"/>
  <c r="N30" i="4" s="1"/>
  <c r="O30" i="4" s="1"/>
  <c r="P30" i="4" s="1"/>
  <c r="Q30" i="4" s="1"/>
  <c r="R30" i="4" s="1"/>
  <c r="S30" i="4" s="1"/>
  <c r="C24" i="4"/>
  <c r="D24" i="4" s="1"/>
  <c r="D5" i="4"/>
  <c r="E5" i="4" s="1"/>
  <c r="C10" i="4"/>
  <c r="C198" i="4" s="1"/>
  <c r="C15" i="4"/>
  <c r="C203" i="4" s="1"/>
  <c r="C8" i="4"/>
  <c r="C196" i="4" s="1"/>
  <c r="C4" i="4"/>
  <c r="C9" i="4"/>
  <c r="D9" i="4" s="1"/>
  <c r="E9" i="4" s="1"/>
  <c r="C11" i="4"/>
  <c r="C64" i="4" s="1"/>
  <c r="C119" i="4" s="1"/>
  <c r="C17" i="4"/>
  <c r="D17" i="4" s="1"/>
  <c r="C12" i="4"/>
  <c r="C65" i="4" s="1"/>
  <c r="C120" i="4" s="1"/>
  <c r="C6" i="4"/>
  <c r="D6" i="4" s="1"/>
  <c r="G9" i="2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C22" i="4"/>
  <c r="D22" i="4" s="1"/>
  <c r="C3" i="4"/>
  <c r="D3" i="4" s="1"/>
  <c r="C16" i="4"/>
  <c r="C69" i="4" s="1"/>
  <c r="C25" i="4"/>
  <c r="C78" i="4" s="1"/>
  <c r="C13" i="4"/>
  <c r="C40" i="4"/>
  <c r="D40" i="4" s="1"/>
  <c r="E40" i="4" s="1"/>
  <c r="F40" i="4" s="1"/>
  <c r="G40" i="4" s="1"/>
  <c r="H40" i="4" s="1"/>
  <c r="I40" i="4" s="1"/>
  <c r="J40" i="4" s="1"/>
  <c r="K40" i="4" s="1"/>
  <c r="L40" i="4" s="1"/>
  <c r="M40" i="4" s="1"/>
  <c r="N40" i="4" s="1"/>
  <c r="O40" i="4" s="1"/>
  <c r="P40" i="4" s="1"/>
  <c r="Q40" i="4" s="1"/>
  <c r="R40" i="4" s="1"/>
  <c r="S40" i="4" s="1"/>
  <c r="C204" i="4"/>
  <c r="B199" i="4"/>
  <c r="C173" i="4"/>
  <c r="B62" i="4"/>
  <c r="B117" i="4" s="1"/>
  <c r="B59" i="4"/>
  <c r="B114" i="4" s="1"/>
  <c r="B168" i="4" s="1"/>
  <c r="B58" i="4"/>
  <c r="B113" i="4" s="1"/>
  <c r="B167" i="4" s="1"/>
  <c r="D177" i="4"/>
  <c r="D170" i="4"/>
  <c r="B201" i="4"/>
  <c r="C175" i="4"/>
  <c r="C58" i="4"/>
  <c r="C113" i="4" s="1"/>
  <c r="B63" i="4"/>
  <c r="B118" i="4" s="1"/>
  <c r="B67" i="4"/>
  <c r="B122" i="4" s="1"/>
  <c r="B176" i="4" s="1"/>
  <c r="B65" i="4"/>
  <c r="B120" i="4" s="1"/>
  <c r="B174" i="4" s="1"/>
  <c r="C75" i="4"/>
  <c r="C77" i="4"/>
  <c r="C67" i="4"/>
  <c r="C122" i="4" s="1"/>
  <c r="D14" i="4"/>
  <c r="C70" i="4"/>
  <c r="C76" i="4"/>
  <c r="D23" i="4"/>
  <c r="C56" i="4"/>
  <c r="B56" i="4"/>
  <c r="C61" i="4"/>
  <c r="C116" i="4" s="1"/>
  <c r="D8" i="4"/>
  <c r="D12" i="4"/>
  <c r="C57" i="4"/>
  <c r="C112" i="4" s="1"/>
  <c r="D4" i="4"/>
  <c r="B57" i="4"/>
  <c r="B112" i="4" s="1"/>
  <c r="B166" i="4" s="1"/>
  <c r="H8" i="1"/>
  <c r="H9" i="1"/>
  <c r="H15" i="1"/>
  <c r="F8" i="1"/>
  <c r="F9" i="1"/>
  <c r="F15" i="1"/>
  <c r="D58" i="4" l="1"/>
  <c r="D113" i="4" s="1"/>
  <c r="D16" i="4"/>
  <c r="C63" i="4"/>
  <c r="C118" i="4" s="1"/>
  <c r="D11" i="4"/>
  <c r="D64" i="4" s="1"/>
  <c r="D119" i="4" s="1"/>
  <c r="E119" i="4" s="1"/>
  <c r="C59" i="4"/>
  <c r="C114" i="4" s="1"/>
  <c r="C26" i="4"/>
  <c r="D10" i="4"/>
  <c r="C66" i="4"/>
  <c r="C121" i="4" s="1"/>
  <c r="E6" i="4"/>
  <c r="E59" i="4" s="1"/>
  <c r="D59" i="4"/>
  <c r="D114" i="4" s="1"/>
  <c r="C111" i="4"/>
  <c r="D62" i="4"/>
  <c r="D117" i="4" s="1"/>
  <c r="D15" i="4"/>
  <c r="D203" i="4" s="1"/>
  <c r="D13" i="4"/>
  <c r="B111" i="4"/>
  <c r="B165" i="4" s="1"/>
  <c r="B191" i="4" s="1"/>
  <c r="B79" i="4"/>
  <c r="C68" i="4"/>
  <c r="C123" i="4" s="1"/>
  <c r="C62" i="4"/>
  <c r="C117" i="4" s="1"/>
  <c r="D25" i="4"/>
  <c r="B200" i="4"/>
  <c r="C174" i="4"/>
  <c r="E113" i="4"/>
  <c r="E177" i="4"/>
  <c r="B194" i="4"/>
  <c r="C168" i="4"/>
  <c r="D173" i="4"/>
  <c r="C199" i="4"/>
  <c r="B192" i="4"/>
  <c r="C166" i="4"/>
  <c r="D69" i="4"/>
  <c r="D204" i="4"/>
  <c r="C176" i="4"/>
  <c r="B202" i="4"/>
  <c r="E170" i="4"/>
  <c r="D196" i="4"/>
  <c r="B193" i="4"/>
  <c r="C167" i="4"/>
  <c r="D175" i="4"/>
  <c r="C201" i="4"/>
  <c r="D56" i="4"/>
  <c r="E3" i="4"/>
  <c r="E23" i="4"/>
  <c r="D76" i="4"/>
  <c r="E17" i="4"/>
  <c r="D70" i="4"/>
  <c r="E14" i="4"/>
  <c r="D67" i="4"/>
  <c r="D122" i="4" s="1"/>
  <c r="E122" i="4" s="1"/>
  <c r="E11" i="4"/>
  <c r="E24" i="4"/>
  <c r="D77" i="4"/>
  <c r="E22" i="4"/>
  <c r="D75" i="4"/>
  <c r="D57" i="4"/>
  <c r="D112" i="4" s="1"/>
  <c r="E4" i="4"/>
  <c r="E58" i="4"/>
  <c r="E16" i="4"/>
  <c r="E12" i="4"/>
  <c r="D65" i="4"/>
  <c r="D120" i="4" s="1"/>
  <c r="E120" i="4" s="1"/>
  <c r="E8" i="4"/>
  <c r="D61" i="4"/>
  <c r="D116" i="4" s="1"/>
  <c r="E116" i="4" s="1"/>
  <c r="E62" i="4"/>
  <c r="D68" i="4" l="1"/>
  <c r="D123" i="4" s="1"/>
  <c r="E123" i="4" s="1"/>
  <c r="E15" i="4"/>
  <c r="E117" i="4"/>
  <c r="E114" i="4"/>
  <c r="D26" i="4"/>
  <c r="E85" i="4"/>
  <c r="C150" i="7" s="1"/>
  <c r="C152" i="7" s="1"/>
  <c r="C155" i="7" s="1"/>
  <c r="C154" i="7" s="1"/>
  <c r="D198" i="4"/>
  <c r="C171" i="4"/>
  <c r="D171" i="4" s="1"/>
  <c r="D63" i="4"/>
  <c r="D118" i="4" s="1"/>
  <c r="E118" i="4" s="1"/>
  <c r="C165" i="4"/>
  <c r="C191" i="4" s="1"/>
  <c r="E10" i="4"/>
  <c r="E89" i="4"/>
  <c r="C168" i="7" s="1"/>
  <c r="C170" i="7" s="1"/>
  <c r="C173" i="7" s="1"/>
  <c r="C172" i="7" s="1"/>
  <c r="E25" i="4"/>
  <c r="D78" i="4"/>
  <c r="C79" i="4"/>
  <c r="D111" i="4"/>
  <c r="D66" i="4"/>
  <c r="D121" i="4" s="1"/>
  <c r="E121" i="4" s="1"/>
  <c r="E13" i="4"/>
  <c r="E63" i="4"/>
  <c r="D167" i="4"/>
  <c r="C193" i="4"/>
  <c r="E173" i="4"/>
  <c r="D199" i="4"/>
  <c r="E203" i="4"/>
  <c r="E69" i="4"/>
  <c r="E124" i="4" s="1"/>
  <c r="B96" i="4" s="1"/>
  <c r="E204" i="4"/>
  <c r="C125" i="4"/>
  <c r="B125" i="4" s="1"/>
  <c r="E191" i="4"/>
  <c r="E196" i="4"/>
  <c r="D176" i="4"/>
  <c r="C202" i="4"/>
  <c r="D166" i="4"/>
  <c r="C192" i="4"/>
  <c r="D168" i="4"/>
  <c r="C194" i="4"/>
  <c r="C200" i="4"/>
  <c r="D174" i="4"/>
  <c r="E175" i="4"/>
  <c r="D201" i="4"/>
  <c r="F62" i="4"/>
  <c r="F117" i="4" s="1"/>
  <c r="E57" i="4"/>
  <c r="E84" i="4" s="1"/>
  <c r="C144" i="7" s="1"/>
  <c r="C146" i="7" s="1"/>
  <c r="C149" i="7" s="1"/>
  <c r="C148" i="7" s="1"/>
  <c r="E56" i="4"/>
  <c r="F59" i="4"/>
  <c r="F114" i="4" s="1"/>
  <c r="E61" i="4"/>
  <c r="E88" i="4" s="1"/>
  <c r="C162" i="7" s="1"/>
  <c r="C164" i="7" s="1"/>
  <c r="C167" i="7" s="1"/>
  <c r="C166" i="7" s="1"/>
  <c r="E65" i="4"/>
  <c r="E92" i="4" s="1"/>
  <c r="C186" i="7" s="1"/>
  <c r="C188" i="7" s="1"/>
  <c r="C191" i="7" s="1"/>
  <c r="C190" i="7" s="1"/>
  <c r="F58" i="4"/>
  <c r="E68" i="4"/>
  <c r="E75" i="4"/>
  <c r="E130" i="4" s="1"/>
  <c r="E77" i="4"/>
  <c r="E132" i="4" s="1"/>
  <c r="E186" i="4" s="1"/>
  <c r="E64" i="4"/>
  <c r="E91" i="4" s="1"/>
  <c r="C180" i="7" s="1"/>
  <c r="C182" i="7" s="1"/>
  <c r="C185" i="7" s="1"/>
  <c r="C184" i="7" s="1"/>
  <c r="E67" i="4"/>
  <c r="E94" i="4" s="1"/>
  <c r="C198" i="7" s="1"/>
  <c r="E70" i="4"/>
  <c r="E125" i="4" s="1"/>
  <c r="E76" i="4"/>
  <c r="E131" i="4" s="1"/>
  <c r="E185" i="4" s="1"/>
  <c r="E95" i="4" l="1"/>
  <c r="C204" i="7" s="1"/>
  <c r="C206" i="7" s="1"/>
  <c r="C209" i="7" s="1"/>
  <c r="C208" i="7" s="1"/>
  <c r="E149" i="4"/>
  <c r="C69" i="8" s="1"/>
  <c r="C71" i="8" s="1"/>
  <c r="C74" i="8" s="1"/>
  <c r="C73" i="8" s="1"/>
  <c r="D150" i="7"/>
  <c r="D152" i="7" s="1"/>
  <c r="D155" i="7" s="1"/>
  <c r="D154" i="7" s="1"/>
  <c r="F113" i="4"/>
  <c r="F193" i="4" s="1"/>
  <c r="F167" i="4" s="1"/>
  <c r="D168" i="7"/>
  <c r="D170" i="7" s="1"/>
  <c r="D173" i="7" s="1"/>
  <c r="D172" i="7" s="1"/>
  <c r="D156" i="7"/>
  <c r="D158" i="7" s="1"/>
  <c r="D161" i="7" s="1"/>
  <c r="D160" i="7" s="1"/>
  <c r="E86" i="4"/>
  <c r="C156" i="7" s="1"/>
  <c r="C158" i="7" s="1"/>
  <c r="C161" i="7" s="1"/>
  <c r="C160" i="7" s="1"/>
  <c r="D165" i="4"/>
  <c r="D191" i="4" s="1"/>
  <c r="C96" i="4"/>
  <c r="C197" i="4"/>
  <c r="E198" i="4"/>
  <c r="D124" i="4"/>
  <c r="C124" i="4" s="1"/>
  <c r="B124" i="4" s="1"/>
  <c r="B150" i="4" s="1"/>
  <c r="E26" i="4"/>
  <c r="E90" i="4"/>
  <c r="C174" i="7" s="1"/>
  <c r="C176" i="7" s="1"/>
  <c r="C179" i="7" s="1"/>
  <c r="C178" i="7" s="1"/>
  <c r="D79" i="4"/>
  <c r="E78" i="4"/>
  <c r="E133" i="4" s="1"/>
  <c r="E83" i="4"/>
  <c r="C138" i="7" s="1"/>
  <c r="C140" i="7" s="1"/>
  <c r="C143" i="7" s="1"/>
  <c r="C142" i="7" s="1"/>
  <c r="E137" i="4"/>
  <c r="C3" i="8" s="1"/>
  <c r="C5" i="8" s="1"/>
  <c r="C8" i="8" s="1"/>
  <c r="C7" i="8" s="1"/>
  <c r="E66" i="4"/>
  <c r="E93" i="4" s="1"/>
  <c r="C192" i="7" s="1"/>
  <c r="C194" i="7" s="1"/>
  <c r="C197" i="7" s="1"/>
  <c r="C200" i="7"/>
  <c r="C203" i="7" s="1"/>
  <c r="C202" i="7" s="1"/>
  <c r="E184" i="4"/>
  <c r="B184" i="4" s="1"/>
  <c r="B210" i="4" s="1"/>
  <c r="H130" i="4"/>
  <c r="D96" i="4"/>
  <c r="F63" i="4"/>
  <c r="F198" i="4"/>
  <c r="D39" i="8" s="1"/>
  <c r="D41" i="8" s="1"/>
  <c r="D44" i="8" s="1"/>
  <c r="D43" i="8" s="1"/>
  <c r="E168" i="4"/>
  <c r="D194" i="4"/>
  <c r="E166" i="4"/>
  <c r="D192" i="4"/>
  <c r="D197" i="4"/>
  <c r="E171" i="4"/>
  <c r="E212" i="4"/>
  <c r="B186" i="4"/>
  <c r="B212" i="4" s="1"/>
  <c r="E211" i="4"/>
  <c r="B185" i="4"/>
  <c r="B211" i="4" s="1"/>
  <c r="E179" i="4"/>
  <c r="B97" i="4"/>
  <c r="C97" i="4"/>
  <c r="F69" i="4"/>
  <c r="F204" i="4"/>
  <c r="F191" i="4"/>
  <c r="E174" i="4"/>
  <c r="D200" i="4"/>
  <c r="E176" i="4"/>
  <c r="D202" i="4"/>
  <c r="G170" i="4"/>
  <c r="F196" i="4"/>
  <c r="D97" i="4"/>
  <c r="G177" i="4"/>
  <c r="F203" i="4"/>
  <c r="E199" i="4"/>
  <c r="E167" i="4"/>
  <c r="D193" i="4"/>
  <c r="E201" i="4"/>
  <c r="E147" i="4" s="1"/>
  <c r="D131" i="4"/>
  <c r="C131" i="4" s="1"/>
  <c r="B131" i="4" s="1"/>
  <c r="H131" i="4"/>
  <c r="D132" i="4"/>
  <c r="C132" i="4" s="1"/>
  <c r="B132" i="4" s="1"/>
  <c r="F132" i="4"/>
  <c r="D130" i="4"/>
  <c r="F70" i="4"/>
  <c r="F64" i="4"/>
  <c r="F68" i="4"/>
  <c r="F67" i="4"/>
  <c r="F77" i="4"/>
  <c r="G58" i="4"/>
  <c r="F65" i="4"/>
  <c r="F61" i="4"/>
  <c r="G59" i="4"/>
  <c r="F56" i="4"/>
  <c r="F111" i="4" s="1"/>
  <c r="F57" i="4"/>
  <c r="G62" i="4"/>
  <c r="D174" i="7" l="1"/>
  <c r="D176" i="7" s="1"/>
  <c r="D179" i="7" s="1"/>
  <c r="D178" i="7" s="1"/>
  <c r="F118" i="4"/>
  <c r="D198" i="7"/>
  <c r="D200" i="7" s="1"/>
  <c r="D203" i="7" s="1"/>
  <c r="D202" i="7" s="1"/>
  <c r="F122" i="4"/>
  <c r="D144" i="7"/>
  <c r="D146" i="7" s="1"/>
  <c r="D149" i="7" s="1"/>
  <c r="D148" i="7" s="1"/>
  <c r="F112" i="4"/>
  <c r="D186" i="7"/>
  <c r="D188" i="7" s="1"/>
  <c r="D191" i="7" s="1"/>
  <c r="D190" i="7" s="1"/>
  <c r="F120" i="4"/>
  <c r="D216" i="7"/>
  <c r="D218" i="7" s="1"/>
  <c r="D221" i="7" s="1"/>
  <c r="D220" i="7" s="1"/>
  <c r="F125" i="4"/>
  <c r="D162" i="7"/>
  <c r="D164" i="7" s="1"/>
  <c r="D167" i="7" s="1"/>
  <c r="D166" i="7" s="1"/>
  <c r="F116" i="4"/>
  <c r="E168" i="7"/>
  <c r="E170" i="7" s="1"/>
  <c r="E173" i="7" s="1"/>
  <c r="E172" i="7" s="1"/>
  <c r="G117" i="4"/>
  <c r="H117" i="4" s="1"/>
  <c r="I117" i="4" s="1"/>
  <c r="E150" i="7"/>
  <c r="E152" i="7" s="1"/>
  <c r="E155" i="7" s="1"/>
  <c r="E154" i="7" s="1"/>
  <c r="G113" i="4"/>
  <c r="E156" i="7"/>
  <c r="E158" i="7" s="1"/>
  <c r="E161" i="7" s="1"/>
  <c r="E160" i="7" s="1"/>
  <c r="G114" i="4"/>
  <c r="H114" i="4" s="1"/>
  <c r="I114" i="4" s="1"/>
  <c r="I130" i="4"/>
  <c r="I131" i="4"/>
  <c r="D204" i="7"/>
  <c r="D206" i="7" s="1"/>
  <c r="D209" i="7" s="1"/>
  <c r="D208" i="7" s="1"/>
  <c r="F123" i="4"/>
  <c r="D69" i="8" s="1"/>
  <c r="D71" i="8" s="1"/>
  <c r="D74" i="8" s="1"/>
  <c r="D73" i="8" s="1"/>
  <c r="D180" i="7"/>
  <c r="D182" i="7" s="1"/>
  <c r="D185" i="7" s="1"/>
  <c r="D184" i="7" s="1"/>
  <c r="F119" i="4"/>
  <c r="C150" i="4"/>
  <c r="D150" i="4"/>
  <c r="D258" i="7"/>
  <c r="D260" i="7" s="1"/>
  <c r="D263" i="7" s="1"/>
  <c r="D262" i="7" s="1"/>
  <c r="C184" i="4"/>
  <c r="C210" i="4" s="1"/>
  <c r="C278" i="7"/>
  <c r="C284" i="7" s="1"/>
  <c r="D246" i="7"/>
  <c r="D248" i="7" s="1"/>
  <c r="D251" i="7" s="1"/>
  <c r="D250" i="7" s="1"/>
  <c r="E217" i="4"/>
  <c r="E219" i="4" s="1"/>
  <c r="E210" i="4"/>
  <c r="F78" i="4"/>
  <c r="F66" i="4"/>
  <c r="E187" i="4"/>
  <c r="D133" i="4"/>
  <c r="C133" i="4" s="1"/>
  <c r="B133" i="4" s="1"/>
  <c r="F133" i="4"/>
  <c r="D138" i="7"/>
  <c r="F26" i="4"/>
  <c r="E79" i="4"/>
  <c r="D3" i="8"/>
  <c r="D27" i="8"/>
  <c r="D29" i="8" s="1"/>
  <c r="D32" i="8" s="1"/>
  <c r="D31" i="8" s="1"/>
  <c r="G124" i="4"/>
  <c r="H124" i="4" s="1"/>
  <c r="I124" i="4" s="1"/>
  <c r="J124" i="4" s="1"/>
  <c r="K124" i="4" s="1"/>
  <c r="L124" i="4" s="1"/>
  <c r="M124" i="4" s="1"/>
  <c r="N124" i="4" s="1"/>
  <c r="O124" i="4" s="1"/>
  <c r="P124" i="4" s="1"/>
  <c r="Q124" i="4" s="1"/>
  <c r="R124" i="4" s="1"/>
  <c r="S124" i="4" s="1"/>
  <c r="G204" i="4"/>
  <c r="D252" i="7"/>
  <c r="D254" i="7" s="1"/>
  <c r="D257" i="7" s="1"/>
  <c r="D256" i="7" s="1"/>
  <c r="E193" i="4"/>
  <c r="G173" i="4"/>
  <c r="F199" i="4"/>
  <c r="H177" i="4"/>
  <c r="G203" i="4"/>
  <c r="H170" i="4"/>
  <c r="G196" i="4"/>
  <c r="F176" i="4"/>
  <c r="E202" i="4"/>
  <c r="E148" i="4" s="1"/>
  <c r="C63" i="8" s="1"/>
  <c r="C65" i="8" s="1"/>
  <c r="C68" i="8" s="1"/>
  <c r="C67" i="8" s="1"/>
  <c r="F124" i="4"/>
  <c r="D75" i="8" s="1"/>
  <c r="D77" i="8" s="1"/>
  <c r="D80" i="8" s="1"/>
  <c r="D79" i="8" s="1"/>
  <c r="D210" i="7"/>
  <c r="D212" i="7" s="1"/>
  <c r="D215" i="7" s="1"/>
  <c r="D214" i="7" s="1"/>
  <c r="C185" i="4"/>
  <c r="C211" i="4" s="1"/>
  <c r="C157" i="4" s="1"/>
  <c r="F211" i="4"/>
  <c r="D117" i="8" s="1"/>
  <c r="D119" i="8" s="1"/>
  <c r="D122" i="8" s="1"/>
  <c r="D121" i="8" s="1"/>
  <c r="B158" i="4"/>
  <c r="G191" i="4"/>
  <c r="G63" i="4"/>
  <c r="G118" i="4" s="1"/>
  <c r="H118" i="4" s="1"/>
  <c r="G198" i="4"/>
  <c r="E39" i="8" s="1"/>
  <c r="E41" i="8" s="1"/>
  <c r="E44" i="8" s="1"/>
  <c r="E43" i="8" s="1"/>
  <c r="E200" i="4"/>
  <c r="E146" i="4" s="1"/>
  <c r="C51" i="8" s="1"/>
  <c r="C53" i="8" s="1"/>
  <c r="C56" i="8" s="1"/>
  <c r="C55" i="8" s="1"/>
  <c r="E205" i="4"/>
  <c r="D179" i="4"/>
  <c r="B157" i="4"/>
  <c r="F212" i="4"/>
  <c r="D123" i="8" s="1"/>
  <c r="D125" i="8" s="1"/>
  <c r="D128" i="8" s="1"/>
  <c r="D127" i="8" s="1"/>
  <c r="C186" i="4"/>
  <c r="C212" i="4" s="1"/>
  <c r="C158" i="4" s="1"/>
  <c r="G186" i="4"/>
  <c r="F171" i="4"/>
  <c r="E197" i="4"/>
  <c r="F166" i="4"/>
  <c r="E192" i="4"/>
  <c r="F168" i="4"/>
  <c r="E194" i="4"/>
  <c r="C57" i="8"/>
  <c r="G175" i="4"/>
  <c r="F201" i="4"/>
  <c r="C196" i="7"/>
  <c r="C285" i="7"/>
  <c r="C130" i="4"/>
  <c r="D102" i="4"/>
  <c r="E174" i="7"/>
  <c r="E176" i="7" s="1"/>
  <c r="E179" i="7" s="1"/>
  <c r="E178" i="7" s="1"/>
  <c r="H62" i="4"/>
  <c r="G57" i="4"/>
  <c r="G56" i="4"/>
  <c r="G111" i="4" s="1"/>
  <c r="H59" i="4"/>
  <c r="G61" i="4"/>
  <c r="G65" i="4"/>
  <c r="H58" i="4"/>
  <c r="E246" i="7"/>
  <c r="E248" i="7" s="1"/>
  <c r="E251" i="7" s="1"/>
  <c r="E250" i="7" s="1"/>
  <c r="G77" i="4"/>
  <c r="G67" i="4"/>
  <c r="G68" i="4"/>
  <c r="G64" i="4"/>
  <c r="G70" i="4"/>
  <c r="E252" i="7"/>
  <c r="E254" i="7" s="1"/>
  <c r="E257" i="7" s="1"/>
  <c r="E256" i="7" s="1"/>
  <c r="D192" i="7" l="1"/>
  <c r="D194" i="7" s="1"/>
  <c r="D197" i="7" s="1"/>
  <c r="F121" i="4"/>
  <c r="E162" i="7"/>
  <c r="E164" i="7" s="1"/>
  <c r="E167" i="7" s="1"/>
  <c r="E166" i="7" s="1"/>
  <c r="G116" i="4"/>
  <c r="E144" i="7"/>
  <c r="E146" i="7" s="1"/>
  <c r="G112" i="4"/>
  <c r="H112" i="4" s="1"/>
  <c r="I112" i="4" s="1"/>
  <c r="E198" i="7"/>
  <c r="E200" i="7" s="1"/>
  <c r="E203" i="7" s="1"/>
  <c r="E202" i="7" s="1"/>
  <c r="G122" i="4"/>
  <c r="H122" i="4" s="1"/>
  <c r="I122" i="4" s="1"/>
  <c r="E216" i="7"/>
  <c r="E218" i="7" s="1"/>
  <c r="E221" i="7" s="1"/>
  <c r="E220" i="7" s="1"/>
  <c r="G125" i="4"/>
  <c r="H125" i="4" s="1"/>
  <c r="I125" i="4" s="1"/>
  <c r="J125" i="4" s="1"/>
  <c r="K125" i="4" s="1"/>
  <c r="L125" i="4" s="1"/>
  <c r="M125" i="4" s="1"/>
  <c r="N125" i="4" s="1"/>
  <c r="O125" i="4" s="1"/>
  <c r="P125" i="4" s="1"/>
  <c r="Q125" i="4" s="1"/>
  <c r="R125" i="4" s="1"/>
  <c r="S125" i="4" s="1"/>
  <c r="E258" i="7"/>
  <c r="E260" i="7" s="1"/>
  <c r="E263" i="7" s="1"/>
  <c r="E262" i="7" s="1"/>
  <c r="G132" i="4"/>
  <c r="H132" i="4" s="1"/>
  <c r="I132" i="4" s="1"/>
  <c r="J132" i="4" s="1"/>
  <c r="K132" i="4" s="1"/>
  <c r="L132" i="4" s="1"/>
  <c r="M132" i="4" s="1"/>
  <c r="N132" i="4" s="1"/>
  <c r="O132" i="4" s="1"/>
  <c r="P132" i="4" s="1"/>
  <c r="Q132" i="4" s="1"/>
  <c r="R132" i="4" s="1"/>
  <c r="S132" i="4" s="1"/>
  <c r="E186" i="7"/>
  <c r="G120" i="4"/>
  <c r="H120" i="4" s="1"/>
  <c r="I120" i="4" s="1"/>
  <c r="G193" i="4"/>
  <c r="G167" i="4" s="1"/>
  <c r="H113" i="4"/>
  <c r="I113" i="4" s="1"/>
  <c r="J113" i="4" s="1"/>
  <c r="H89" i="4"/>
  <c r="F168" i="7" s="1"/>
  <c r="F170" i="7" s="1"/>
  <c r="F173" i="7" s="1"/>
  <c r="F172" i="7" s="1"/>
  <c r="H86" i="4"/>
  <c r="F156" i="7" s="1"/>
  <c r="F158" i="7" s="1"/>
  <c r="F161" i="7" s="1"/>
  <c r="F160" i="7" s="1"/>
  <c r="D5" i="8"/>
  <c r="D8" i="8" s="1"/>
  <c r="D140" i="7"/>
  <c r="D143" i="7" s="1"/>
  <c r="J130" i="4"/>
  <c r="J131" i="4"/>
  <c r="E204" i="7"/>
  <c r="E206" i="7" s="1"/>
  <c r="E209" i="7" s="1"/>
  <c r="E208" i="7" s="1"/>
  <c r="G123" i="4"/>
  <c r="H123" i="4" s="1"/>
  <c r="I123" i="4" s="1"/>
  <c r="E180" i="7"/>
  <c r="E182" i="7" s="1"/>
  <c r="E185" i="7" s="1"/>
  <c r="E184" i="7" s="1"/>
  <c r="G119" i="4"/>
  <c r="H119" i="4" s="1"/>
  <c r="I119" i="4" s="1"/>
  <c r="G184" i="4"/>
  <c r="H184" i="4" s="1"/>
  <c r="F210" i="4"/>
  <c r="D111" i="8" s="1"/>
  <c r="D113" i="8" s="1"/>
  <c r="D116" i="8" s="1"/>
  <c r="D115" i="8" s="1"/>
  <c r="F79" i="4"/>
  <c r="G26" i="4"/>
  <c r="C286" i="7"/>
  <c r="C287" i="7" s="1"/>
  <c r="E138" i="7"/>
  <c r="E213" i="4"/>
  <c r="E214" i="4" s="1"/>
  <c r="B187" i="4"/>
  <c r="B213" i="4" s="1"/>
  <c r="B159" i="4" s="1"/>
  <c r="D264" i="7"/>
  <c r="D266" i="7" s="1"/>
  <c r="D269" i="7" s="1"/>
  <c r="D268" i="7" s="1"/>
  <c r="E188" i="7"/>
  <c r="E191" i="7" s="1"/>
  <c r="E190" i="7" s="1"/>
  <c r="G66" i="4"/>
  <c r="G78" i="4"/>
  <c r="E3" i="8"/>
  <c r="E27" i="8"/>
  <c r="E29" i="8" s="1"/>
  <c r="E32" i="8" s="1"/>
  <c r="E31" i="8" s="1"/>
  <c r="D45" i="8"/>
  <c r="D47" i="8" s="1"/>
  <c r="D50" i="8" s="1"/>
  <c r="D49" i="8" s="1"/>
  <c r="C156" i="4"/>
  <c r="H69" i="4"/>
  <c r="H96" i="4" s="1"/>
  <c r="H204" i="4"/>
  <c r="H191" i="4"/>
  <c r="G168" i="4"/>
  <c r="F194" i="4"/>
  <c r="G166" i="4"/>
  <c r="F192" i="4"/>
  <c r="G171" i="4"/>
  <c r="F197" i="4"/>
  <c r="D33" i="8" s="1"/>
  <c r="D35" i="8" s="1"/>
  <c r="D38" i="8" s="1"/>
  <c r="D37" i="8" s="1"/>
  <c r="B179" i="4"/>
  <c r="D205" i="4"/>
  <c r="G174" i="4"/>
  <c r="F200" i="4"/>
  <c r="G211" i="4"/>
  <c r="E117" i="8" s="1"/>
  <c r="E119" i="8" s="1"/>
  <c r="E122" i="8" s="1"/>
  <c r="E121" i="8" s="1"/>
  <c r="D185" i="4"/>
  <c r="D211" i="4" s="1"/>
  <c r="D157" i="4" s="1"/>
  <c r="H185" i="4"/>
  <c r="H63" i="4"/>
  <c r="H198" i="4"/>
  <c r="F39" i="8" s="1"/>
  <c r="F41" i="8" s="1"/>
  <c r="F44" i="8" s="1"/>
  <c r="F43" i="8" s="1"/>
  <c r="G212" i="4"/>
  <c r="E123" i="8" s="1"/>
  <c r="E125" i="8" s="1"/>
  <c r="E128" i="8" s="1"/>
  <c r="E127" i="8" s="1"/>
  <c r="H186" i="4"/>
  <c r="D186" i="4"/>
  <c r="D212" i="4" s="1"/>
  <c r="D158" i="4" s="1"/>
  <c r="G179" i="4"/>
  <c r="F205" i="4"/>
  <c r="G176" i="4"/>
  <c r="F202" i="4"/>
  <c r="H196" i="4"/>
  <c r="I177" i="4"/>
  <c r="H203" i="4"/>
  <c r="H173" i="4"/>
  <c r="G199" i="4"/>
  <c r="E210" i="7"/>
  <c r="E212" i="7" s="1"/>
  <c r="E215" i="7" s="1"/>
  <c r="E214" i="7" s="1"/>
  <c r="D57" i="8"/>
  <c r="H175" i="4"/>
  <c r="G201" i="4"/>
  <c r="D196" i="7"/>
  <c r="C59" i="8"/>
  <c r="C62" i="8" s="1"/>
  <c r="C142" i="8"/>
  <c r="J117" i="4"/>
  <c r="J114" i="4"/>
  <c r="I118" i="4"/>
  <c r="B130" i="4"/>
  <c r="C102" i="4"/>
  <c r="I111" i="4"/>
  <c r="H76" i="4"/>
  <c r="I150" i="4"/>
  <c r="H70" i="4"/>
  <c r="H64" i="4"/>
  <c r="H68" i="4"/>
  <c r="H67" i="4"/>
  <c r="H77" i="4"/>
  <c r="H75" i="4"/>
  <c r="I58" i="4"/>
  <c r="H65" i="4"/>
  <c r="H61" i="4"/>
  <c r="I59" i="4"/>
  <c r="H56" i="4"/>
  <c r="H57" i="4"/>
  <c r="I62" i="4"/>
  <c r="D285" i="7" l="1"/>
  <c r="I116" i="4"/>
  <c r="J116" i="4" s="1"/>
  <c r="H116" i="4"/>
  <c r="D7" i="8"/>
  <c r="H149" i="4"/>
  <c r="F69" i="8" s="1"/>
  <c r="F71" i="8" s="1"/>
  <c r="F74" i="8" s="1"/>
  <c r="F73" i="8" s="1"/>
  <c r="D278" i="7"/>
  <c r="D279" i="7" s="1"/>
  <c r="G210" i="4"/>
  <c r="E111" i="8" s="1"/>
  <c r="E113" i="8" s="1"/>
  <c r="E116" i="8" s="1"/>
  <c r="E115" i="8" s="1"/>
  <c r="H142" i="4"/>
  <c r="E264" i="7"/>
  <c r="E266" i="7" s="1"/>
  <c r="E269" i="7" s="1"/>
  <c r="E268" i="7" s="1"/>
  <c r="G133" i="4"/>
  <c r="H133" i="4" s="1"/>
  <c r="I133" i="4" s="1"/>
  <c r="J133" i="4" s="1"/>
  <c r="K133" i="4" s="1"/>
  <c r="L133" i="4" s="1"/>
  <c r="M133" i="4" s="1"/>
  <c r="N133" i="4" s="1"/>
  <c r="O133" i="4" s="1"/>
  <c r="P133" i="4" s="1"/>
  <c r="Q133" i="4" s="1"/>
  <c r="R133" i="4" s="1"/>
  <c r="S133" i="4" s="1"/>
  <c r="E192" i="7"/>
  <c r="E194" i="7" s="1"/>
  <c r="E197" i="7" s="1"/>
  <c r="E196" i="7" s="1"/>
  <c r="G121" i="4"/>
  <c r="H121" i="4" s="1"/>
  <c r="I121" i="4" s="1"/>
  <c r="J121" i="4" s="1"/>
  <c r="H85" i="4"/>
  <c r="F150" i="7" s="1"/>
  <c r="F152" i="7" s="1"/>
  <c r="F155" i="7" s="1"/>
  <c r="F154" i="7" s="1"/>
  <c r="H102" i="4"/>
  <c r="F246" i="7" s="1"/>
  <c r="F248" i="7" s="1"/>
  <c r="F251" i="7" s="1"/>
  <c r="F250" i="7" s="1"/>
  <c r="H104" i="4"/>
  <c r="F258" i="7" s="1"/>
  <c r="F260" i="7" s="1"/>
  <c r="F263" i="7" s="1"/>
  <c r="F262" i="7" s="1"/>
  <c r="H103" i="4"/>
  <c r="F252" i="7" s="1"/>
  <c r="F254" i="7" s="1"/>
  <c r="F257" i="7" s="1"/>
  <c r="F256" i="7" s="1"/>
  <c r="H97" i="4"/>
  <c r="F216" i="7" s="1"/>
  <c r="H94" i="4"/>
  <c r="F198" i="7" s="1"/>
  <c r="F200" i="7" s="1"/>
  <c r="F203" i="7" s="1"/>
  <c r="F202" i="7" s="1"/>
  <c r="H92" i="4"/>
  <c r="F186" i="7" s="1"/>
  <c r="F188" i="7" s="1"/>
  <c r="F191" i="7" s="1"/>
  <c r="F190" i="7" s="1"/>
  <c r="H90" i="4"/>
  <c r="F174" i="7" s="1"/>
  <c r="F176" i="7" s="1"/>
  <c r="F179" i="7" s="1"/>
  <c r="F178" i="7" s="1"/>
  <c r="I89" i="4"/>
  <c r="G168" i="7" s="1"/>
  <c r="G170" i="7" s="1"/>
  <c r="G173" i="7" s="1"/>
  <c r="G172" i="7" s="1"/>
  <c r="H88" i="4"/>
  <c r="F162" i="7" s="1"/>
  <c r="F164" i="7" s="1"/>
  <c r="F167" i="7" s="1"/>
  <c r="F166" i="7" s="1"/>
  <c r="I86" i="4"/>
  <c r="G156" i="7" s="1"/>
  <c r="G158" i="7" s="1"/>
  <c r="G161" i="7" s="1"/>
  <c r="G160" i="7" s="1"/>
  <c r="I85" i="4"/>
  <c r="G150" i="7" s="1"/>
  <c r="G152" i="7" s="1"/>
  <c r="G155" i="7" s="1"/>
  <c r="G154" i="7" s="1"/>
  <c r="H84" i="4"/>
  <c r="F144" i="7" s="1"/>
  <c r="F146" i="7" s="1"/>
  <c r="F149" i="7" s="1"/>
  <c r="F148" i="7" s="1"/>
  <c r="E5" i="8"/>
  <c r="E8" i="8" s="1"/>
  <c r="E140" i="7"/>
  <c r="E143" i="7" s="1"/>
  <c r="D142" i="7"/>
  <c r="D184" i="4"/>
  <c r="D210" i="4" s="1"/>
  <c r="D156" i="4" s="1"/>
  <c r="K130" i="4"/>
  <c r="K131" i="4"/>
  <c r="H95" i="4"/>
  <c r="F204" i="7" s="1"/>
  <c r="F206" i="7" s="1"/>
  <c r="F209" i="7" s="1"/>
  <c r="F208" i="7" s="1"/>
  <c r="E69" i="8"/>
  <c r="E71" i="8" s="1"/>
  <c r="E74" i="8" s="1"/>
  <c r="E73" i="8" s="1"/>
  <c r="H91" i="4"/>
  <c r="F180" i="7" s="1"/>
  <c r="F182" i="7" s="1"/>
  <c r="F185" i="7" s="1"/>
  <c r="F184" i="7" s="1"/>
  <c r="H26" i="4"/>
  <c r="F217" i="4"/>
  <c r="F219" i="4" s="1"/>
  <c r="G217" i="4"/>
  <c r="G219" i="4" s="1"/>
  <c r="H83" i="4"/>
  <c r="F138" i="7" s="1"/>
  <c r="H66" i="4"/>
  <c r="H78" i="4"/>
  <c r="G187" i="4"/>
  <c r="C187" i="4"/>
  <c r="C213" i="4" s="1"/>
  <c r="C159" i="4" s="1"/>
  <c r="F213" i="4"/>
  <c r="D137" i="8" s="1"/>
  <c r="D140" i="8" s="1"/>
  <c r="D139" i="8" s="1"/>
  <c r="F106" i="4"/>
  <c r="G107" i="4" s="1"/>
  <c r="G79" i="4"/>
  <c r="D151" i="4"/>
  <c r="F3" i="8"/>
  <c r="D15" i="8"/>
  <c r="E45" i="8"/>
  <c r="E47" i="8" s="1"/>
  <c r="E50" i="8" s="1"/>
  <c r="E49" i="8" s="1"/>
  <c r="F27" i="8"/>
  <c r="F29" i="8" s="1"/>
  <c r="F32" i="8" s="1"/>
  <c r="F31" i="8" s="1"/>
  <c r="D63" i="8"/>
  <c r="D65" i="8" s="1"/>
  <c r="D68" i="8" s="1"/>
  <c r="D67" i="8" s="1"/>
  <c r="D81" i="8"/>
  <c r="D83" i="8" s="1"/>
  <c r="D86" i="8" s="1"/>
  <c r="D85" i="8" s="1"/>
  <c r="D51" i="8"/>
  <c r="D53" i="8" s="1"/>
  <c r="D56" i="8" s="1"/>
  <c r="D55" i="8" s="1"/>
  <c r="D9" i="8"/>
  <c r="E75" i="8"/>
  <c r="E77" i="8" s="1"/>
  <c r="E80" i="8" s="1"/>
  <c r="E79" i="8" s="1"/>
  <c r="D21" i="8"/>
  <c r="D23" i="8" s="1"/>
  <c r="D26" i="8" s="1"/>
  <c r="D25" i="8" s="1"/>
  <c r="I69" i="4"/>
  <c r="I96" i="4" s="1"/>
  <c r="I204" i="4"/>
  <c r="B102" i="4"/>
  <c r="B156" i="4"/>
  <c r="C148" i="8"/>
  <c r="E223" i="4"/>
  <c r="E225" i="4" s="1"/>
  <c r="I185" i="4"/>
  <c r="H211" i="4"/>
  <c r="H157" i="4" s="1"/>
  <c r="F117" i="8" s="1"/>
  <c r="F119" i="8" s="1"/>
  <c r="F122" i="8" s="1"/>
  <c r="F121" i="8" s="1"/>
  <c r="H174" i="4"/>
  <c r="G200" i="4"/>
  <c r="C179" i="4"/>
  <c r="C205" i="4" s="1"/>
  <c r="B205" i="4"/>
  <c r="H171" i="4"/>
  <c r="G197" i="4"/>
  <c r="E33" i="8" s="1"/>
  <c r="E35" i="8" s="1"/>
  <c r="E38" i="8" s="1"/>
  <c r="E37" i="8" s="1"/>
  <c r="H166" i="4"/>
  <c r="G192" i="4"/>
  <c r="H168" i="4"/>
  <c r="G194" i="4"/>
  <c r="I191" i="4"/>
  <c r="I63" i="4"/>
  <c r="I198" i="4"/>
  <c r="G39" i="8" s="1"/>
  <c r="G41" i="8" s="1"/>
  <c r="G44" i="8" s="1"/>
  <c r="G43" i="8" s="1"/>
  <c r="H167" i="4"/>
  <c r="I173" i="4"/>
  <c r="H199" i="4"/>
  <c r="J177" i="4"/>
  <c r="I203" i="4"/>
  <c r="I149" i="4" s="1"/>
  <c r="G69" i="8" s="1"/>
  <c r="G71" i="8" s="1"/>
  <c r="G74" i="8" s="1"/>
  <c r="G73" i="8" s="1"/>
  <c r="J170" i="4"/>
  <c r="I196" i="4"/>
  <c r="I142" i="4" s="1"/>
  <c r="H176" i="4"/>
  <c r="G202" i="4"/>
  <c r="G205" i="4"/>
  <c r="H179" i="4"/>
  <c r="I186" i="4"/>
  <c r="H212" i="4"/>
  <c r="H158" i="4" s="1"/>
  <c r="F123" i="8" s="1"/>
  <c r="F125" i="8" s="1"/>
  <c r="F128" i="8" s="1"/>
  <c r="F127" i="8" s="1"/>
  <c r="H210" i="4"/>
  <c r="H156" i="4" s="1"/>
  <c r="F111" i="8" s="1"/>
  <c r="F113" i="8" s="1"/>
  <c r="F116" i="8" s="1"/>
  <c r="F115" i="8" s="1"/>
  <c r="I184" i="4"/>
  <c r="E57" i="8"/>
  <c r="C61" i="8"/>
  <c r="C149" i="8"/>
  <c r="I175" i="4"/>
  <c r="H201" i="4"/>
  <c r="H147" i="4" s="1"/>
  <c r="D59" i="8"/>
  <c r="D62" i="8" s="1"/>
  <c r="K113" i="4"/>
  <c r="J111" i="4"/>
  <c r="J120" i="4"/>
  <c r="J112" i="4"/>
  <c r="J123" i="4"/>
  <c r="J122" i="4"/>
  <c r="J119" i="4"/>
  <c r="J118" i="4"/>
  <c r="K114" i="4"/>
  <c r="K121" i="4"/>
  <c r="K117" i="4"/>
  <c r="J62" i="4"/>
  <c r="I57" i="4"/>
  <c r="I56" i="4"/>
  <c r="J59" i="4"/>
  <c r="I61" i="4"/>
  <c r="I65" i="4"/>
  <c r="J58" i="4"/>
  <c r="J85" i="4" s="1"/>
  <c r="I75" i="4"/>
  <c r="I77" i="4"/>
  <c r="I67" i="4"/>
  <c r="I68" i="4"/>
  <c r="I95" i="4" s="1"/>
  <c r="I64" i="4"/>
  <c r="I91" i="4" s="1"/>
  <c r="I70" i="4"/>
  <c r="J150" i="4"/>
  <c r="I76" i="4"/>
  <c r="D284" i="7" l="1"/>
  <c r="D286" i="7" s="1"/>
  <c r="D287" i="7" s="1"/>
  <c r="D142" i="8"/>
  <c r="E7" i="8"/>
  <c r="E278" i="7"/>
  <c r="I102" i="4"/>
  <c r="G246" i="7" s="1"/>
  <c r="G248" i="7" s="1"/>
  <c r="G251" i="7" s="1"/>
  <c r="G250" i="7" s="1"/>
  <c r="H105" i="4"/>
  <c r="F264" i="7" s="1"/>
  <c r="F266" i="7" s="1"/>
  <c r="F269" i="7" s="1"/>
  <c r="F268" i="7" s="1"/>
  <c r="I104" i="4"/>
  <c r="G258" i="7" s="1"/>
  <c r="G260" i="7" s="1"/>
  <c r="G263" i="7" s="1"/>
  <c r="G262" i="7" s="1"/>
  <c r="I103" i="4"/>
  <c r="G252" i="7" s="1"/>
  <c r="G254" i="7" s="1"/>
  <c r="G257" i="7" s="1"/>
  <c r="G256" i="7" s="1"/>
  <c r="I97" i="4"/>
  <c r="G216" i="7" s="1"/>
  <c r="G218" i="7" s="1"/>
  <c r="G221" i="7" s="1"/>
  <c r="G220" i="7" s="1"/>
  <c r="I94" i="4"/>
  <c r="G198" i="7" s="1"/>
  <c r="G200" i="7" s="1"/>
  <c r="G203" i="7" s="1"/>
  <c r="G202" i="7" s="1"/>
  <c r="H93" i="4"/>
  <c r="F192" i="7" s="1"/>
  <c r="F194" i="7" s="1"/>
  <c r="F197" i="7" s="1"/>
  <c r="F196" i="7" s="1"/>
  <c r="I92" i="4"/>
  <c r="G186" i="7" s="1"/>
  <c r="G188" i="7" s="1"/>
  <c r="G191" i="7" s="1"/>
  <c r="G190" i="7" s="1"/>
  <c r="I90" i="4"/>
  <c r="G174" i="7" s="1"/>
  <c r="G176" i="7" s="1"/>
  <c r="G179" i="7" s="1"/>
  <c r="G178" i="7" s="1"/>
  <c r="J89" i="4"/>
  <c r="H168" i="7" s="1"/>
  <c r="H170" i="7" s="1"/>
  <c r="H173" i="7" s="1"/>
  <c r="H172" i="7" s="1"/>
  <c r="I88" i="4"/>
  <c r="G162" i="7" s="1"/>
  <c r="G164" i="7" s="1"/>
  <c r="G167" i="7" s="1"/>
  <c r="G166" i="7" s="1"/>
  <c r="J86" i="4"/>
  <c r="H156" i="7" s="1"/>
  <c r="H158" i="7" s="1"/>
  <c r="H161" i="7" s="1"/>
  <c r="H150" i="7"/>
  <c r="H152" i="7" s="1"/>
  <c r="H155" i="7" s="1"/>
  <c r="H154" i="7" s="1"/>
  <c r="I84" i="4"/>
  <c r="G144" i="7" s="1"/>
  <c r="G146" i="7" s="1"/>
  <c r="G149" i="7" s="1"/>
  <c r="G148" i="7" s="1"/>
  <c r="F5" i="8"/>
  <c r="F8" i="8" s="1"/>
  <c r="D11" i="8"/>
  <c r="D14" i="8" s="1"/>
  <c r="F140" i="7"/>
  <c r="F143" i="7" s="1"/>
  <c r="E142" i="7"/>
  <c r="L130" i="4"/>
  <c r="L131" i="4"/>
  <c r="G204" i="7"/>
  <c r="G206" i="7" s="1"/>
  <c r="G209" i="7" s="1"/>
  <c r="G208" i="7" s="1"/>
  <c r="G180" i="7"/>
  <c r="G182" i="7" s="1"/>
  <c r="G185" i="7" s="1"/>
  <c r="G184" i="7" s="1"/>
  <c r="F214" i="4"/>
  <c r="I26" i="4"/>
  <c r="F160" i="4"/>
  <c r="G161" i="4" s="1"/>
  <c r="C150" i="8"/>
  <c r="C151" i="8" s="1"/>
  <c r="B151" i="4"/>
  <c r="B214" i="4"/>
  <c r="H187" i="4"/>
  <c r="D187" i="4"/>
  <c r="D213" i="4" s="1"/>
  <c r="G213" i="4"/>
  <c r="E137" i="8" s="1"/>
  <c r="E140" i="8" s="1"/>
  <c r="E139" i="8" s="1"/>
  <c r="I66" i="4"/>
  <c r="C151" i="4"/>
  <c r="C214" i="4"/>
  <c r="H79" i="4"/>
  <c r="I83" i="4"/>
  <c r="G138" i="7" s="1"/>
  <c r="I78" i="4"/>
  <c r="D17" i="8"/>
  <c r="D20" i="8" s="1"/>
  <c r="D19" i="8" s="1"/>
  <c r="E81" i="8"/>
  <c r="E83" i="8" s="1"/>
  <c r="E86" i="8" s="1"/>
  <c r="E85" i="8" s="1"/>
  <c r="E63" i="8"/>
  <c r="E65" i="8" s="1"/>
  <c r="E68" i="8" s="1"/>
  <c r="E67" i="8" s="1"/>
  <c r="G27" i="8"/>
  <c r="G29" i="8" s="1"/>
  <c r="G32" i="8" s="1"/>
  <c r="G31" i="8" s="1"/>
  <c r="H145" i="4"/>
  <c r="F45" i="8" s="1"/>
  <c r="F47" i="8" s="1"/>
  <c r="F50" i="8" s="1"/>
  <c r="F49" i="8" s="1"/>
  <c r="E15" i="8"/>
  <c r="E17" i="8" s="1"/>
  <c r="E20" i="8" s="1"/>
  <c r="E19" i="8" s="1"/>
  <c r="G3" i="8"/>
  <c r="E21" i="8"/>
  <c r="E23" i="8" s="1"/>
  <c r="E26" i="8" s="1"/>
  <c r="E25" i="8" s="1"/>
  <c r="E9" i="8"/>
  <c r="E51" i="8"/>
  <c r="E53" i="8" s="1"/>
  <c r="E56" i="8" s="1"/>
  <c r="E55" i="8" s="1"/>
  <c r="J63" i="4"/>
  <c r="J198" i="4"/>
  <c r="H39" i="8" s="1"/>
  <c r="H41" i="8" s="1"/>
  <c r="H44" i="8" s="1"/>
  <c r="H43" i="8" s="1"/>
  <c r="J69" i="4"/>
  <c r="J96" i="4" s="1"/>
  <c r="J204" i="4"/>
  <c r="J186" i="4"/>
  <c r="I212" i="4"/>
  <c r="I158" i="4" s="1"/>
  <c r="G123" i="8" s="1"/>
  <c r="G125" i="8" s="1"/>
  <c r="G128" i="8" s="1"/>
  <c r="G127" i="8" s="1"/>
  <c r="I176" i="4"/>
  <c r="H202" i="4"/>
  <c r="H148" i="4" s="1"/>
  <c r="K170" i="4"/>
  <c r="J196" i="4"/>
  <c r="J142" i="4" s="1"/>
  <c r="K177" i="4"/>
  <c r="J203" i="4"/>
  <c r="J149" i="4" s="1"/>
  <c r="H69" i="8" s="1"/>
  <c r="H71" i="8" s="1"/>
  <c r="H74" i="8" s="1"/>
  <c r="H73" i="8" s="1"/>
  <c r="J173" i="4"/>
  <c r="I199" i="4"/>
  <c r="I167" i="4"/>
  <c r="H193" i="4"/>
  <c r="H139" i="4" s="1"/>
  <c r="J191" i="4"/>
  <c r="J184" i="4"/>
  <c r="I210" i="4"/>
  <c r="I156" i="4" s="1"/>
  <c r="G111" i="8" s="1"/>
  <c r="G113" i="8" s="1"/>
  <c r="G116" i="8" s="1"/>
  <c r="G115" i="8" s="1"/>
  <c r="H205" i="4"/>
  <c r="H151" i="4" s="1"/>
  <c r="I179" i="4"/>
  <c r="I168" i="4"/>
  <c r="H194" i="4"/>
  <c r="H140" i="4" s="1"/>
  <c r="I166" i="4"/>
  <c r="H192" i="4"/>
  <c r="I171" i="4"/>
  <c r="H197" i="4"/>
  <c r="H143" i="4" s="1"/>
  <c r="F33" i="8" s="1"/>
  <c r="F35" i="8" s="1"/>
  <c r="F38" i="8" s="1"/>
  <c r="F37" i="8" s="1"/>
  <c r="I174" i="4"/>
  <c r="H200" i="4"/>
  <c r="H146" i="4" s="1"/>
  <c r="J185" i="4"/>
  <c r="I211" i="4"/>
  <c r="I157" i="4" s="1"/>
  <c r="G117" i="8" s="1"/>
  <c r="G119" i="8" s="1"/>
  <c r="G122" i="8" s="1"/>
  <c r="G121" i="8" s="1"/>
  <c r="F57" i="8"/>
  <c r="D61" i="8"/>
  <c r="J175" i="4"/>
  <c r="I201" i="4"/>
  <c r="I147" i="4" s="1"/>
  <c r="E59" i="8"/>
  <c r="E62" i="8" s="1"/>
  <c r="L117" i="4"/>
  <c r="L121" i="4"/>
  <c r="L114" i="4"/>
  <c r="K118" i="4"/>
  <c r="K119" i="4"/>
  <c r="K122" i="4"/>
  <c r="K123" i="4"/>
  <c r="K112" i="4"/>
  <c r="K120" i="4"/>
  <c r="K116" i="4"/>
  <c r="K111" i="4"/>
  <c r="L113" i="4"/>
  <c r="K150" i="4"/>
  <c r="J70" i="4"/>
  <c r="J76" i="4"/>
  <c r="J64" i="4"/>
  <c r="J68" i="4"/>
  <c r="J67" i="4"/>
  <c r="J94" i="4" s="1"/>
  <c r="J77" i="4"/>
  <c r="J75" i="4"/>
  <c r="K58" i="4"/>
  <c r="K85" i="4" s="1"/>
  <c r="J65" i="4"/>
  <c r="J61" i="4"/>
  <c r="J88" i="4" s="1"/>
  <c r="K59" i="4"/>
  <c r="K86" i="4" s="1"/>
  <c r="J56" i="4"/>
  <c r="J57" i="4"/>
  <c r="K62" i="4"/>
  <c r="F223" i="4" l="1"/>
  <c r="F225" i="4" s="1"/>
  <c r="D148" i="8"/>
  <c r="D143" i="8"/>
  <c r="H160" i="7"/>
  <c r="E284" i="7"/>
  <c r="E279" i="7"/>
  <c r="F7" i="8"/>
  <c r="E142" i="8"/>
  <c r="D13" i="8"/>
  <c r="D149" i="8"/>
  <c r="J102" i="4"/>
  <c r="H246" i="7" s="1"/>
  <c r="H248" i="7" s="1"/>
  <c r="H251" i="7" s="1"/>
  <c r="H250" i="7" s="1"/>
  <c r="I105" i="4"/>
  <c r="G264" i="7" s="1"/>
  <c r="G266" i="7" s="1"/>
  <c r="G269" i="7" s="1"/>
  <c r="G268" i="7" s="1"/>
  <c r="J104" i="4"/>
  <c r="H258" i="7" s="1"/>
  <c r="H260" i="7" s="1"/>
  <c r="H263" i="7" s="1"/>
  <c r="H262" i="7" s="1"/>
  <c r="J103" i="4"/>
  <c r="H252" i="7" s="1"/>
  <c r="H254" i="7" s="1"/>
  <c r="H257" i="7" s="1"/>
  <c r="H256" i="7" s="1"/>
  <c r="J97" i="4"/>
  <c r="H216" i="7" s="1"/>
  <c r="H218" i="7" s="1"/>
  <c r="H221" i="7" s="1"/>
  <c r="H220" i="7" s="1"/>
  <c r="H198" i="7"/>
  <c r="H200" i="7" s="1"/>
  <c r="H203" i="7" s="1"/>
  <c r="H202" i="7" s="1"/>
  <c r="I93" i="4"/>
  <c r="G192" i="7" s="1"/>
  <c r="G194" i="7" s="1"/>
  <c r="G197" i="7" s="1"/>
  <c r="G196" i="7" s="1"/>
  <c r="J92" i="4"/>
  <c r="H186" i="7" s="1"/>
  <c r="H188" i="7" s="1"/>
  <c r="H191" i="7" s="1"/>
  <c r="H190" i="7" s="1"/>
  <c r="J90" i="4"/>
  <c r="H174" i="7" s="1"/>
  <c r="H176" i="7" s="1"/>
  <c r="H179" i="7" s="1"/>
  <c r="H178" i="7" s="1"/>
  <c r="K89" i="4"/>
  <c r="I168" i="7" s="1"/>
  <c r="I170" i="7" s="1"/>
  <c r="I173" i="7" s="1"/>
  <c r="I172" i="7" s="1"/>
  <c r="H162" i="7"/>
  <c r="H164" i="7" s="1"/>
  <c r="H167" i="7" s="1"/>
  <c r="H166" i="7" s="1"/>
  <c r="I156" i="7"/>
  <c r="I158" i="7" s="1"/>
  <c r="I161" i="7" s="1"/>
  <c r="I160" i="7" s="1"/>
  <c r="I150" i="7"/>
  <c r="I152" i="7" s="1"/>
  <c r="I155" i="7" s="1"/>
  <c r="I154" i="7" s="1"/>
  <c r="J84" i="4"/>
  <c r="H144" i="7" s="1"/>
  <c r="H146" i="7" s="1"/>
  <c r="H149" i="7" s="1"/>
  <c r="H148" i="7" s="1"/>
  <c r="G5" i="8"/>
  <c r="G8" i="8" s="1"/>
  <c r="G140" i="7"/>
  <c r="G143" i="7" s="1"/>
  <c r="F142" i="7"/>
  <c r="M130" i="4"/>
  <c r="M131" i="4"/>
  <c r="J95" i="4"/>
  <c r="H204" i="7" s="1"/>
  <c r="H206" i="7" s="1"/>
  <c r="H209" i="7" s="1"/>
  <c r="H208" i="7" s="1"/>
  <c r="J91" i="4"/>
  <c r="H180" i="7" s="1"/>
  <c r="H182" i="7" s="1"/>
  <c r="H185" i="7" s="1"/>
  <c r="H184" i="7" s="1"/>
  <c r="G214" i="4"/>
  <c r="E11" i="8"/>
  <c r="E14" i="8" s="1"/>
  <c r="E149" i="8" s="1"/>
  <c r="J78" i="4"/>
  <c r="J83" i="4"/>
  <c r="H138" i="7" s="1"/>
  <c r="I79" i="4"/>
  <c r="J66" i="4"/>
  <c r="H213" i="4"/>
  <c r="H159" i="4" s="1"/>
  <c r="I187" i="4"/>
  <c r="J26" i="4"/>
  <c r="D159" i="4"/>
  <c r="D214" i="4"/>
  <c r="F51" i="8"/>
  <c r="F53" i="8" s="1"/>
  <c r="F56" i="8" s="1"/>
  <c r="F55" i="8" s="1"/>
  <c r="H138" i="4"/>
  <c r="F9" i="8" s="1"/>
  <c r="F21" i="8"/>
  <c r="F23" i="8" s="1"/>
  <c r="F26" i="8" s="1"/>
  <c r="F25" i="8" s="1"/>
  <c r="F81" i="8"/>
  <c r="F83" i="8" s="1"/>
  <c r="F86" i="8" s="1"/>
  <c r="F85" i="8" s="1"/>
  <c r="H3" i="8"/>
  <c r="F15" i="8"/>
  <c r="F17" i="8" s="1"/>
  <c r="F20" i="8" s="1"/>
  <c r="F19" i="8" s="1"/>
  <c r="I145" i="4"/>
  <c r="G45" i="8" s="1"/>
  <c r="G47" i="8" s="1"/>
  <c r="G50" i="8" s="1"/>
  <c r="G49" i="8" s="1"/>
  <c r="H27" i="8"/>
  <c r="H29" i="8" s="1"/>
  <c r="H32" i="8" s="1"/>
  <c r="H31" i="8" s="1"/>
  <c r="F63" i="8"/>
  <c r="F65" i="8" s="1"/>
  <c r="F68" i="8" s="1"/>
  <c r="F67" i="8" s="1"/>
  <c r="K63" i="4"/>
  <c r="K90" i="4" s="1"/>
  <c r="K198" i="4"/>
  <c r="I39" i="8" s="1"/>
  <c r="I41" i="8" s="1"/>
  <c r="I44" i="8" s="1"/>
  <c r="I43" i="8" s="1"/>
  <c r="K185" i="4"/>
  <c r="J211" i="4"/>
  <c r="J157" i="4" s="1"/>
  <c r="H117" i="8" s="1"/>
  <c r="H119" i="8" s="1"/>
  <c r="H122" i="8" s="1"/>
  <c r="H121" i="8" s="1"/>
  <c r="J174" i="4"/>
  <c r="I200" i="4"/>
  <c r="I146" i="4" s="1"/>
  <c r="J171" i="4"/>
  <c r="I197" i="4"/>
  <c r="I143" i="4" s="1"/>
  <c r="G33" i="8" s="1"/>
  <c r="G35" i="8" s="1"/>
  <c r="G38" i="8" s="1"/>
  <c r="G37" i="8" s="1"/>
  <c r="J166" i="4"/>
  <c r="I192" i="4"/>
  <c r="J168" i="4"/>
  <c r="I194" i="4"/>
  <c r="I140" i="4" s="1"/>
  <c r="K184" i="4"/>
  <c r="J210" i="4"/>
  <c r="J156" i="4" s="1"/>
  <c r="H111" i="8" s="1"/>
  <c r="H113" i="8" s="1"/>
  <c r="H116" i="8" s="1"/>
  <c r="H115" i="8" s="1"/>
  <c r="J167" i="4"/>
  <c r="I193" i="4"/>
  <c r="I139" i="4" s="1"/>
  <c r="K173" i="4"/>
  <c r="J199" i="4"/>
  <c r="L177" i="4"/>
  <c r="K203" i="4"/>
  <c r="K149" i="4" s="1"/>
  <c r="I69" i="8" s="1"/>
  <c r="I71" i="8" s="1"/>
  <c r="I74" i="8" s="1"/>
  <c r="I73" i="8" s="1"/>
  <c r="L170" i="4"/>
  <c r="K196" i="4"/>
  <c r="K142" i="4" s="1"/>
  <c r="J176" i="4"/>
  <c r="I202" i="4"/>
  <c r="I148" i="4" s="1"/>
  <c r="K186" i="4"/>
  <c r="J212" i="4"/>
  <c r="J158" i="4" s="1"/>
  <c r="H123" i="8" s="1"/>
  <c r="H125" i="8" s="1"/>
  <c r="H128" i="8" s="1"/>
  <c r="H127" i="8" s="1"/>
  <c r="K191" i="4"/>
  <c r="K69" i="4"/>
  <c r="K96" i="4" s="1"/>
  <c r="K204" i="4"/>
  <c r="J179" i="4"/>
  <c r="I205" i="4"/>
  <c r="I151" i="4" s="1"/>
  <c r="G57" i="8"/>
  <c r="E61" i="8"/>
  <c r="K175" i="4"/>
  <c r="J201" i="4"/>
  <c r="J147" i="4" s="1"/>
  <c r="F59" i="8"/>
  <c r="F62" i="8" s="1"/>
  <c r="M113" i="4"/>
  <c r="L111" i="4"/>
  <c r="L116" i="4"/>
  <c r="L120" i="4"/>
  <c r="L112" i="4"/>
  <c r="L123" i="4"/>
  <c r="L122" i="4"/>
  <c r="L119" i="4"/>
  <c r="L118" i="4"/>
  <c r="M114" i="4"/>
  <c r="M121" i="4"/>
  <c r="M117" i="4"/>
  <c r="L62" i="4"/>
  <c r="K57" i="4"/>
  <c r="K56" i="4"/>
  <c r="L59" i="4"/>
  <c r="K61" i="4"/>
  <c r="K88" i="4" s="1"/>
  <c r="K65" i="4"/>
  <c r="L58" i="4"/>
  <c r="L85" i="4" s="1"/>
  <c r="K75" i="4"/>
  <c r="K77" i="4"/>
  <c r="K67" i="4"/>
  <c r="K68" i="4"/>
  <c r="K64" i="4"/>
  <c r="K76" i="4"/>
  <c r="L150" i="4"/>
  <c r="K70" i="4"/>
  <c r="E148" i="8" l="1"/>
  <c r="E150" i="8" s="1"/>
  <c r="E151" i="8" s="1"/>
  <c r="E143" i="8"/>
  <c r="G7" i="8"/>
  <c r="F137" i="8"/>
  <c r="F140" i="8" s="1"/>
  <c r="F139" i="8" s="1"/>
  <c r="F129" i="8"/>
  <c r="F131" i="8" s="1"/>
  <c r="F134" i="8" s="1"/>
  <c r="F133" i="8" s="1"/>
  <c r="N115" i="4"/>
  <c r="N141" i="4" s="1"/>
  <c r="L135" i="8" s="1"/>
  <c r="M87" i="4"/>
  <c r="K270" i="7" s="1"/>
  <c r="K272" i="7" s="1"/>
  <c r="K275" i="7" s="1"/>
  <c r="K274" i="7" s="1"/>
  <c r="K102" i="4"/>
  <c r="I246" i="7" s="1"/>
  <c r="I248" i="7" s="1"/>
  <c r="I251" i="7" s="1"/>
  <c r="I250" i="7" s="1"/>
  <c r="J105" i="4"/>
  <c r="H264" i="7" s="1"/>
  <c r="H266" i="7" s="1"/>
  <c r="H269" i="7" s="1"/>
  <c r="H268" i="7" s="1"/>
  <c r="K104" i="4"/>
  <c r="I258" i="7" s="1"/>
  <c r="I260" i="7" s="1"/>
  <c r="I263" i="7" s="1"/>
  <c r="I262" i="7" s="1"/>
  <c r="K103" i="4"/>
  <c r="I252" i="7" s="1"/>
  <c r="I254" i="7" s="1"/>
  <c r="I257" i="7" s="1"/>
  <c r="I256" i="7" s="1"/>
  <c r="K97" i="4"/>
  <c r="I216" i="7" s="1"/>
  <c r="I218" i="7" s="1"/>
  <c r="I221" i="7" s="1"/>
  <c r="I220" i="7" s="1"/>
  <c r="K94" i="4"/>
  <c r="I198" i="7" s="1"/>
  <c r="I200" i="7" s="1"/>
  <c r="I203" i="7" s="1"/>
  <c r="I202" i="7" s="1"/>
  <c r="J93" i="4"/>
  <c r="H192" i="7" s="1"/>
  <c r="H194" i="7" s="1"/>
  <c r="H197" i="7" s="1"/>
  <c r="H196" i="7" s="1"/>
  <c r="K92" i="4"/>
  <c r="I186" i="7" s="1"/>
  <c r="I188" i="7" s="1"/>
  <c r="I191" i="7" s="1"/>
  <c r="I190" i="7" s="1"/>
  <c r="I174" i="7"/>
  <c r="I176" i="7" s="1"/>
  <c r="I179" i="7" s="1"/>
  <c r="I178" i="7" s="1"/>
  <c r="L89" i="4"/>
  <c r="J168" i="7" s="1"/>
  <c r="J170" i="7" s="1"/>
  <c r="J173" i="7" s="1"/>
  <c r="J172" i="7" s="1"/>
  <c r="I162" i="7"/>
  <c r="I164" i="7" s="1"/>
  <c r="I167" i="7" s="1"/>
  <c r="I166" i="7" s="1"/>
  <c r="L86" i="4"/>
  <c r="J156" i="7" s="1"/>
  <c r="J158" i="7" s="1"/>
  <c r="J161" i="7" s="1"/>
  <c r="J160" i="7" s="1"/>
  <c r="J150" i="7"/>
  <c r="J152" i="7" s="1"/>
  <c r="J155" i="7" s="1"/>
  <c r="J154" i="7" s="1"/>
  <c r="K84" i="4"/>
  <c r="I144" i="7" s="1"/>
  <c r="I146" i="7" s="1"/>
  <c r="I149" i="7" s="1"/>
  <c r="I148" i="7" s="1"/>
  <c r="H8" i="8"/>
  <c r="E13" i="8"/>
  <c r="H140" i="7"/>
  <c r="H143" i="7" s="1"/>
  <c r="G142" i="7"/>
  <c r="N130" i="4"/>
  <c r="N131" i="4"/>
  <c r="K95" i="4"/>
  <c r="I204" i="7" s="1"/>
  <c r="I206" i="7" s="1"/>
  <c r="I209" i="7" s="1"/>
  <c r="I208" i="7" s="1"/>
  <c r="D150" i="8"/>
  <c r="D151" i="8" s="1"/>
  <c r="K91" i="4"/>
  <c r="I180" i="7" s="1"/>
  <c r="I182" i="7" s="1"/>
  <c r="I185" i="7" s="1"/>
  <c r="I184" i="7" s="1"/>
  <c r="G223" i="4"/>
  <c r="G225" i="4" s="1"/>
  <c r="H214" i="4"/>
  <c r="J79" i="4"/>
  <c r="J187" i="4"/>
  <c r="I213" i="4"/>
  <c r="I159" i="4" s="1"/>
  <c r="K66" i="4"/>
  <c r="K83" i="4"/>
  <c r="I138" i="7" s="1"/>
  <c r="K26" i="4"/>
  <c r="K78" i="4"/>
  <c r="F11" i="8"/>
  <c r="F14" i="8" s="1"/>
  <c r="G81" i="8"/>
  <c r="I3" i="8"/>
  <c r="G63" i="8"/>
  <c r="G65" i="8" s="1"/>
  <c r="G68" i="8" s="1"/>
  <c r="G67" i="8" s="1"/>
  <c r="I27" i="8"/>
  <c r="I29" i="8" s="1"/>
  <c r="I32" i="8" s="1"/>
  <c r="I31" i="8" s="1"/>
  <c r="J145" i="4"/>
  <c r="H45" i="8" s="1"/>
  <c r="H47" i="8" s="1"/>
  <c r="H50" i="8" s="1"/>
  <c r="H49" i="8" s="1"/>
  <c r="G15" i="8"/>
  <c r="G17" i="8" s="1"/>
  <c r="G20" i="8" s="1"/>
  <c r="G19" i="8" s="1"/>
  <c r="G21" i="8"/>
  <c r="G23" i="8" s="1"/>
  <c r="G26" i="8" s="1"/>
  <c r="G25" i="8" s="1"/>
  <c r="I138" i="4"/>
  <c r="G9" i="8" s="1"/>
  <c r="G51" i="8"/>
  <c r="G53" i="8" s="1"/>
  <c r="G56" i="8" s="1"/>
  <c r="G55" i="8" s="1"/>
  <c r="L69" i="4"/>
  <c r="L96" i="4" s="1"/>
  <c r="L204" i="4"/>
  <c r="L63" i="4"/>
  <c r="L198" i="4"/>
  <c r="J39" i="8" s="1"/>
  <c r="J41" i="8" s="1"/>
  <c r="J44" i="8" s="1"/>
  <c r="J43" i="8" s="1"/>
  <c r="L191" i="4"/>
  <c r="J205" i="4"/>
  <c r="J151" i="4" s="1"/>
  <c r="K179" i="4"/>
  <c r="K212" i="4"/>
  <c r="K158" i="4" s="1"/>
  <c r="I123" i="8" s="1"/>
  <c r="I125" i="8" s="1"/>
  <c r="I128" i="8" s="1"/>
  <c r="I127" i="8" s="1"/>
  <c r="L186" i="4"/>
  <c r="K176" i="4"/>
  <c r="J202" i="4"/>
  <c r="J148" i="4" s="1"/>
  <c r="M170" i="4"/>
  <c r="L196" i="4"/>
  <c r="L142" i="4" s="1"/>
  <c r="M177" i="4"/>
  <c r="L203" i="4"/>
  <c r="L149" i="4" s="1"/>
  <c r="J69" i="8" s="1"/>
  <c r="J71" i="8" s="1"/>
  <c r="J74" i="8" s="1"/>
  <c r="J73" i="8" s="1"/>
  <c r="L173" i="4"/>
  <c r="K199" i="4"/>
  <c r="K167" i="4"/>
  <c r="J193" i="4"/>
  <c r="J139" i="4" s="1"/>
  <c r="K210" i="4"/>
  <c r="K156" i="4" s="1"/>
  <c r="I111" i="8" s="1"/>
  <c r="I113" i="8" s="1"/>
  <c r="I116" i="8" s="1"/>
  <c r="I115" i="8" s="1"/>
  <c r="L184" i="4"/>
  <c r="K168" i="4"/>
  <c r="J194" i="4"/>
  <c r="J140" i="4" s="1"/>
  <c r="K166" i="4"/>
  <c r="J192" i="4"/>
  <c r="K171" i="4"/>
  <c r="J197" i="4"/>
  <c r="J143" i="4" s="1"/>
  <c r="H33" i="8" s="1"/>
  <c r="H35" i="8" s="1"/>
  <c r="H38" i="8" s="1"/>
  <c r="H37" i="8" s="1"/>
  <c r="K174" i="4"/>
  <c r="J200" i="4"/>
  <c r="J146" i="4" s="1"/>
  <c r="K211" i="4"/>
  <c r="K157" i="4" s="1"/>
  <c r="I117" i="8" s="1"/>
  <c r="I119" i="8" s="1"/>
  <c r="I122" i="8" s="1"/>
  <c r="I121" i="8" s="1"/>
  <c r="L185" i="4"/>
  <c r="H57" i="8"/>
  <c r="F61" i="8"/>
  <c r="L175" i="4"/>
  <c r="K201" i="4"/>
  <c r="K147" i="4" s="1"/>
  <c r="G59" i="8"/>
  <c r="G62" i="8" s="1"/>
  <c r="N117" i="4"/>
  <c r="N121" i="4"/>
  <c r="N114" i="4"/>
  <c r="M118" i="4"/>
  <c r="M119" i="4"/>
  <c r="M122" i="4"/>
  <c r="M123" i="4"/>
  <c r="M112" i="4"/>
  <c r="M120" i="4"/>
  <c r="M116" i="4"/>
  <c r="M111" i="4"/>
  <c r="N113" i="4"/>
  <c r="M150" i="4"/>
  <c r="L70" i="4"/>
  <c r="L76" i="4"/>
  <c r="L64" i="4"/>
  <c r="L68" i="4"/>
  <c r="L67" i="4"/>
  <c r="L77" i="4"/>
  <c r="L75" i="4"/>
  <c r="M58" i="4"/>
  <c r="M85" i="4" s="1"/>
  <c r="L65" i="4"/>
  <c r="L61" i="4"/>
  <c r="M59" i="4"/>
  <c r="M86" i="4" s="1"/>
  <c r="L56" i="4"/>
  <c r="L57" i="4"/>
  <c r="M62" i="4"/>
  <c r="H7" i="8" l="1"/>
  <c r="G137" i="8"/>
  <c r="G140" i="8" s="1"/>
  <c r="G139" i="8" s="1"/>
  <c r="G129" i="8"/>
  <c r="G131" i="8" s="1"/>
  <c r="G134" i="8" s="1"/>
  <c r="G133" i="8" s="1"/>
  <c r="H142" i="7"/>
  <c r="O115" i="4"/>
  <c r="O141" i="4" s="1"/>
  <c r="M135" i="8" s="1"/>
  <c r="N87" i="4"/>
  <c r="L270" i="7" s="1"/>
  <c r="L272" i="7" s="1"/>
  <c r="L275" i="7" s="1"/>
  <c r="L274" i="7" s="1"/>
  <c r="L102" i="4"/>
  <c r="J246" i="7" s="1"/>
  <c r="J248" i="7" s="1"/>
  <c r="J251" i="7" s="1"/>
  <c r="J250" i="7" s="1"/>
  <c r="K105" i="4"/>
  <c r="I264" i="7" s="1"/>
  <c r="I266" i="7" s="1"/>
  <c r="I269" i="7" s="1"/>
  <c r="I268" i="7" s="1"/>
  <c r="L104" i="4"/>
  <c r="J258" i="7" s="1"/>
  <c r="J260" i="7" s="1"/>
  <c r="J263" i="7" s="1"/>
  <c r="J262" i="7" s="1"/>
  <c r="L103" i="4"/>
  <c r="J252" i="7" s="1"/>
  <c r="J254" i="7" s="1"/>
  <c r="J257" i="7" s="1"/>
  <c r="J256" i="7" s="1"/>
  <c r="L97" i="4"/>
  <c r="J216" i="7" s="1"/>
  <c r="J218" i="7" s="1"/>
  <c r="J221" i="7" s="1"/>
  <c r="J220" i="7" s="1"/>
  <c r="L94" i="4"/>
  <c r="J198" i="7" s="1"/>
  <c r="J200" i="7" s="1"/>
  <c r="J203" i="7" s="1"/>
  <c r="J202" i="7" s="1"/>
  <c r="K93" i="4"/>
  <c r="I192" i="7" s="1"/>
  <c r="I194" i="7" s="1"/>
  <c r="I197" i="7" s="1"/>
  <c r="I196" i="7" s="1"/>
  <c r="L92" i="4"/>
  <c r="J186" i="7" s="1"/>
  <c r="J188" i="7" s="1"/>
  <c r="J191" i="7" s="1"/>
  <c r="J190" i="7" s="1"/>
  <c r="L90" i="4"/>
  <c r="J174" i="7" s="1"/>
  <c r="J176" i="7" s="1"/>
  <c r="J179" i="7" s="1"/>
  <c r="J178" i="7" s="1"/>
  <c r="M89" i="4"/>
  <c r="K168" i="7" s="1"/>
  <c r="K170" i="7" s="1"/>
  <c r="K173" i="7" s="1"/>
  <c r="K172" i="7" s="1"/>
  <c r="L88" i="4"/>
  <c r="J162" i="7" s="1"/>
  <c r="J164" i="7" s="1"/>
  <c r="J167" i="7" s="1"/>
  <c r="J166" i="7" s="1"/>
  <c r="K156" i="7"/>
  <c r="K158" i="7" s="1"/>
  <c r="K161" i="7" s="1"/>
  <c r="K160" i="7" s="1"/>
  <c r="K150" i="7"/>
  <c r="K152" i="7" s="1"/>
  <c r="K155" i="7" s="1"/>
  <c r="K154" i="7" s="1"/>
  <c r="L84" i="4"/>
  <c r="J144" i="7" s="1"/>
  <c r="J146" i="7" s="1"/>
  <c r="J149" i="7" s="1"/>
  <c r="J148" i="7" s="1"/>
  <c r="I5" i="8"/>
  <c r="I8" i="8" s="1"/>
  <c r="G11" i="8"/>
  <c r="G14" i="8" s="1"/>
  <c r="F13" i="8"/>
  <c r="I140" i="7"/>
  <c r="I143" i="7" s="1"/>
  <c r="O130" i="4"/>
  <c r="O131" i="4"/>
  <c r="L95" i="4"/>
  <c r="J204" i="7" s="1"/>
  <c r="J206" i="7" s="1"/>
  <c r="J209" i="7" s="1"/>
  <c r="J208" i="7" s="1"/>
  <c r="L91" i="4"/>
  <c r="J180" i="7" s="1"/>
  <c r="J182" i="7" s="1"/>
  <c r="J185" i="7" s="1"/>
  <c r="J184" i="7" s="1"/>
  <c r="L26" i="4"/>
  <c r="K79" i="4"/>
  <c r="L83" i="4"/>
  <c r="J138" i="7" s="1"/>
  <c r="K187" i="4"/>
  <c r="J213" i="4"/>
  <c r="J159" i="4" s="1"/>
  <c r="L78" i="4"/>
  <c r="L66" i="4"/>
  <c r="I214" i="4"/>
  <c r="G83" i="8"/>
  <c r="G86" i="8" s="1"/>
  <c r="G85" i="8" s="1"/>
  <c r="J138" i="4"/>
  <c r="H9" i="8" s="1"/>
  <c r="H21" i="8"/>
  <c r="H23" i="8" s="1"/>
  <c r="H26" i="8" s="1"/>
  <c r="H25" i="8" s="1"/>
  <c r="H15" i="8"/>
  <c r="H17" i="8" s="1"/>
  <c r="H20" i="8" s="1"/>
  <c r="H19" i="8" s="1"/>
  <c r="K145" i="4"/>
  <c r="I45" i="8" s="1"/>
  <c r="I47" i="8" s="1"/>
  <c r="I50" i="8" s="1"/>
  <c r="I49" i="8" s="1"/>
  <c r="J27" i="8"/>
  <c r="J29" i="8" s="1"/>
  <c r="J32" i="8" s="1"/>
  <c r="J31" i="8" s="1"/>
  <c r="H63" i="8"/>
  <c r="H65" i="8" s="1"/>
  <c r="H68" i="8" s="1"/>
  <c r="H67" i="8" s="1"/>
  <c r="J3" i="8"/>
  <c r="H51" i="8"/>
  <c r="H81" i="8"/>
  <c r="H83" i="8" s="1"/>
  <c r="H86" i="8" s="1"/>
  <c r="H85" i="8" s="1"/>
  <c r="M191" i="4"/>
  <c r="M69" i="4"/>
  <c r="M96" i="4" s="1"/>
  <c r="M204" i="4"/>
  <c r="M185" i="4"/>
  <c r="L211" i="4"/>
  <c r="L157" i="4" s="1"/>
  <c r="J117" i="8" s="1"/>
  <c r="J119" i="8" s="1"/>
  <c r="J122" i="8" s="1"/>
  <c r="J121" i="8" s="1"/>
  <c r="M184" i="4"/>
  <c r="L210" i="4"/>
  <c r="L156" i="4" s="1"/>
  <c r="J111" i="8" s="1"/>
  <c r="J113" i="8" s="1"/>
  <c r="J116" i="8" s="1"/>
  <c r="J115" i="8" s="1"/>
  <c r="M186" i="4"/>
  <c r="L212" i="4"/>
  <c r="L158" i="4" s="1"/>
  <c r="J123" i="8" s="1"/>
  <c r="J125" i="8" s="1"/>
  <c r="J128" i="8" s="1"/>
  <c r="J127" i="8" s="1"/>
  <c r="K205" i="4"/>
  <c r="K151" i="4" s="1"/>
  <c r="L179" i="4"/>
  <c r="M63" i="4"/>
  <c r="M198" i="4"/>
  <c r="K39" i="8" s="1"/>
  <c r="K41" i="8" s="1"/>
  <c r="K44" i="8" s="1"/>
  <c r="K43" i="8" s="1"/>
  <c r="L174" i="4"/>
  <c r="K200" i="4"/>
  <c r="K146" i="4" s="1"/>
  <c r="L171" i="4"/>
  <c r="K197" i="4"/>
  <c r="K143" i="4" s="1"/>
  <c r="I33" i="8" s="1"/>
  <c r="I35" i="8" s="1"/>
  <c r="I38" i="8" s="1"/>
  <c r="I37" i="8" s="1"/>
  <c r="L166" i="4"/>
  <c r="K192" i="4"/>
  <c r="L168" i="4"/>
  <c r="K194" i="4"/>
  <c r="K140" i="4" s="1"/>
  <c r="L167" i="4"/>
  <c r="K193" i="4"/>
  <c r="K139" i="4" s="1"/>
  <c r="M173" i="4"/>
  <c r="L199" i="4"/>
  <c r="N177" i="4"/>
  <c r="M203" i="4"/>
  <c r="M149" i="4" s="1"/>
  <c r="K69" i="8" s="1"/>
  <c r="K71" i="8" s="1"/>
  <c r="K74" i="8" s="1"/>
  <c r="K73" i="8" s="1"/>
  <c r="N170" i="4"/>
  <c r="M196" i="4"/>
  <c r="M142" i="4" s="1"/>
  <c r="L176" i="4"/>
  <c r="K202" i="4"/>
  <c r="K148" i="4" s="1"/>
  <c r="I57" i="8"/>
  <c r="G61" i="8"/>
  <c r="M175" i="4"/>
  <c r="L201" i="4"/>
  <c r="L147" i="4" s="1"/>
  <c r="H59" i="8"/>
  <c r="H62" i="8" s="1"/>
  <c r="O113" i="4"/>
  <c r="N111" i="4"/>
  <c r="N116" i="4"/>
  <c r="N120" i="4"/>
  <c r="N112" i="4"/>
  <c r="N123" i="4"/>
  <c r="N122" i="4"/>
  <c r="N119" i="4"/>
  <c r="N118" i="4"/>
  <c r="O114" i="4"/>
  <c r="O121" i="4"/>
  <c r="O117" i="4"/>
  <c r="N62" i="4"/>
  <c r="M57" i="4"/>
  <c r="M56" i="4"/>
  <c r="N59" i="4"/>
  <c r="M61" i="4"/>
  <c r="M88" i="4" s="1"/>
  <c r="M65" i="4"/>
  <c r="N58" i="4"/>
  <c r="N85" i="4" s="1"/>
  <c r="M75" i="4"/>
  <c r="M77" i="4"/>
  <c r="M67" i="4"/>
  <c r="M68" i="4"/>
  <c r="M64" i="4"/>
  <c r="M91" i="4" s="1"/>
  <c r="M76" i="4"/>
  <c r="N150" i="4"/>
  <c r="M70" i="4"/>
  <c r="G13" i="8" l="1"/>
  <c r="I7" i="8"/>
  <c r="H137" i="8"/>
  <c r="H140" i="8" s="1"/>
  <c r="H139" i="8" s="1"/>
  <c r="H129" i="8"/>
  <c r="H131" i="8" s="1"/>
  <c r="H134" i="8" s="1"/>
  <c r="H133" i="8" s="1"/>
  <c r="P115" i="4"/>
  <c r="P141" i="4" s="1"/>
  <c r="N135" i="8" s="1"/>
  <c r="O87" i="4"/>
  <c r="M270" i="7" s="1"/>
  <c r="M272" i="7" s="1"/>
  <c r="M275" i="7" s="1"/>
  <c r="M274" i="7" s="1"/>
  <c r="M102" i="4"/>
  <c r="K246" i="7" s="1"/>
  <c r="K248" i="7" s="1"/>
  <c r="K251" i="7" s="1"/>
  <c r="K250" i="7" s="1"/>
  <c r="L105" i="4"/>
  <c r="J264" i="7" s="1"/>
  <c r="J266" i="7" s="1"/>
  <c r="J269" i="7" s="1"/>
  <c r="J268" i="7" s="1"/>
  <c r="M104" i="4"/>
  <c r="K258" i="7" s="1"/>
  <c r="K260" i="7" s="1"/>
  <c r="K263" i="7" s="1"/>
  <c r="K262" i="7" s="1"/>
  <c r="M103" i="4"/>
  <c r="K252" i="7" s="1"/>
  <c r="K254" i="7" s="1"/>
  <c r="K257" i="7" s="1"/>
  <c r="K256" i="7" s="1"/>
  <c r="M97" i="4"/>
  <c r="K216" i="7" s="1"/>
  <c r="K218" i="7" s="1"/>
  <c r="K221" i="7" s="1"/>
  <c r="K220" i="7" s="1"/>
  <c r="M94" i="4"/>
  <c r="K198" i="7" s="1"/>
  <c r="K200" i="7" s="1"/>
  <c r="K203" i="7" s="1"/>
  <c r="K202" i="7" s="1"/>
  <c r="L93" i="4"/>
  <c r="J192" i="7" s="1"/>
  <c r="J194" i="7" s="1"/>
  <c r="J197" i="7" s="1"/>
  <c r="J196" i="7" s="1"/>
  <c r="M92" i="4"/>
  <c r="K186" i="7" s="1"/>
  <c r="K188" i="7" s="1"/>
  <c r="K191" i="7" s="1"/>
  <c r="K190" i="7" s="1"/>
  <c r="M90" i="4"/>
  <c r="K174" i="7" s="1"/>
  <c r="K176" i="7" s="1"/>
  <c r="K179" i="7" s="1"/>
  <c r="K178" i="7" s="1"/>
  <c r="N89" i="4"/>
  <c r="L168" i="7" s="1"/>
  <c r="L170" i="7" s="1"/>
  <c r="L173" i="7" s="1"/>
  <c r="L172" i="7" s="1"/>
  <c r="K162" i="7"/>
  <c r="K164" i="7" s="1"/>
  <c r="K167" i="7" s="1"/>
  <c r="K166" i="7" s="1"/>
  <c r="N86" i="4"/>
  <c r="L156" i="7" s="1"/>
  <c r="L158" i="7" s="1"/>
  <c r="L161" i="7" s="1"/>
  <c r="L160" i="7" s="1"/>
  <c r="L150" i="7"/>
  <c r="L152" i="7" s="1"/>
  <c r="L155" i="7" s="1"/>
  <c r="L154" i="7" s="1"/>
  <c r="M84" i="4"/>
  <c r="K144" i="7" s="1"/>
  <c r="K146" i="7" s="1"/>
  <c r="K149" i="7" s="1"/>
  <c r="K148" i="7" s="1"/>
  <c r="J5" i="8"/>
  <c r="J8" i="8" s="1"/>
  <c r="H11" i="8"/>
  <c r="H14" i="8" s="1"/>
  <c r="J140" i="7"/>
  <c r="J143" i="7" s="1"/>
  <c r="I142" i="7"/>
  <c r="P130" i="4"/>
  <c r="P131" i="4"/>
  <c r="M95" i="4"/>
  <c r="K204" i="7" s="1"/>
  <c r="K206" i="7" s="1"/>
  <c r="K209" i="7" s="1"/>
  <c r="K208" i="7" s="1"/>
  <c r="K180" i="7"/>
  <c r="K182" i="7" s="1"/>
  <c r="K185" i="7" s="1"/>
  <c r="K184" i="7" s="1"/>
  <c r="J214" i="4"/>
  <c r="M78" i="4"/>
  <c r="K213" i="4"/>
  <c r="K159" i="4" s="1"/>
  <c r="L187" i="4"/>
  <c r="M26" i="4"/>
  <c r="M66" i="4"/>
  <c r="L79" i="4"/>
  <c r="M83" i="4"/>
  <c r="K138" i="7" s="1"/>
  <c r="H53" i="8"/>
  <c r="H56" i="8" s="1"/>
  <c r="H55" i="8" s="1"/>
  <c r="K3" i="8"/>
  <c r="I63" i="8"/>
  <c r="I65" i="8" s="1"/>
  <c r="I68" i="8" s="1"/>
  <c r="I67" i="8" s="1"/>
  <c r="K27" i="8"/>
  <c r="K29" i="8" s="1"/>
  <c r="K32" i="8" s="1"/>
  <c r="K31" i="8" s="1"/>
  <c r="L145" i="4"/>
  <c r="J45" i="8" s="1"/>
  <c r="J47" i="8" s="1"/>
  <c r="J50" i="8" s="1"/>
  <c r="J49" i="8" s="1"/>
  <c r="I15" i="8"/>
  <c r="I17" i="8" s="1"/>
  <c r="I20" i="8" s="1"/>
  <c r="I19" i="8" s="1"/>
  <c r="I21" i="8"/>
  <c r="I23" i="8" s="1"/>
  <c r="I26" i="8" s="1"/>
  <c r="I25" i="8" s="1"/>
  <c r="K138" i="4"/>
  <c r="I9" i="8" s="1"/>
  <c r="I51" i="8"/>
  <c r="I53" i="8" s="1"/>
  <c r="I56" i="8" s="1"/>
  <c r="I55" i="8" s="1"/>
  <c r="I81" i="8"/>
  <c r="I83" i="8" s="1"/>
  <c r="I86" i="8" s="1"/>
  <c r="I85" i="8" s="1"/>
  <c r="N69" i="4"/>
  <c r="N96" i="4" s="1"/>
  <c r="N204" i="4"/>
  <c r="M176" i="4"/>
  <c r="L202" i="4"/>
  <c r="L148" i="4" s="1"/>
  <c r="O170" i="4"/>
  <c r="N196" i="4"/>
  <c r="N142" i="4" s="1"/>
  <c r="O177" i="4"/>
  <c r="N203" i="4"/>
  <c r="N149" i="4" s="1"/>
  <c r="L69" i="8" s="1"/>
  <c r="L71" i="8" s="1"/>
  <c r="L74" i="8" s="1"/>
  <c r="L73" i="8" s="1"/>
  <c r="N173" i="4"/>
  <c r="M199" i="4"/>
  <c r="M167" i="4"/>
  <c r="L193" i="4"/>
  <c r="L139" i="4" s="1"/>
  <c r="M168" i="4"/>
  <c r="L194" i="4"/>
  <c r="L140" i="4" s="1"/>
  <c r="M166" i="4"/>
  <c r="L192" i="4"/>
  <c r="M171" i="4"/>
  <c r="L197" i="4"/>
  <c r="L143" i="4" s="1"/>
  <c r="J33" i="8" s="1"/>
  <c r="J35" i="8" s="1"/>
  <c r="J38" i="8" s="1"/>
  <c r="J37" i="8" s="1"/>
  <c r="M174" i="4"/>
  <c r="L200" i="4"/>
  <c r="L146" i="4" s="1"/>
  <c r="N186" i="4"/>
  <c r="M212" i="4"/>
  <c r="M158" i="4" s="1"/>
  <c r="K123" i="8" s="1"/>
  <c r="K125" i="8" s="1"/>
  <c r="K128" i="8" s="1"/>
  <c r="K127" i="8" s="1"/>
  <c r="N184" i="4"/>
  <c r="M210" i="4"/>
  <c r="M156" i="4" s="1"/>
  <c r="K111" i="8" s="1"/>
  <c r="K113" i="8" s="1"/>
  <c r="K116" i="8" s="1"/>
  <c r="K115" i="8" s="1"/>
  <c r="N185" i="4"/>
  <c r="M211" i="4"/>
  <c r="M157" i="4" s="1"/>
  <c r="K117" i="8" s="1"/>
  <c r="K119" i="8" s="1"/>
  <c r="K122" i="8" s="1"/>
  <c r="K121" i="8" s="1"/>
  <c r="N63" i="4"/>
  <c r="N198" i="4"/>
  <c r="L39" i="8" s="1"/>
  <c r="L41" i="8" s="1"/>
  <c r="L44" i="8" s="1"/>
  <c r="L43" i="8" s="1"/>
  <c r="N191" i="4"/>
  <c r="M179" i="4"/>
  <c r="L205" i="4"/>
  <c r="L151" i="4" s="1"/>
  <c r="J57" i="8"/>
  <c r="H61" i="8"/>
  <c r="N175" i="4"/>
  <c r="M201" i="4"/>
  <c r="M147" i="4" s="1"/>
  <c r="I59" i="8"/>
  <c r="I62" i="8" s="1"/>
  <c r="P117" i="4"/>
  <c r="P121" i="4"/>
  <c r="P114" i="4"/>
  <c r="O118" i="4"/>
  <c r="O119" i="4"/>
  <c r="O122" i="4"/>
  <c r="O123" i="4"/>
  <c r="O112" i="4"/>
  <c r="O120" i="4"/>
  <c r="O116" i="4"/>
  <c r="O111" i="4"/>
  <c r="P113" i="4"/>
  <c r="O150" i="4"/>
  <c r="N70" i="4"/>
  <c r="N76" i="4"/>
  <c r="N64" i="4"/>
  <c r="N91" i="4" s="1"/>
  <c r="N68" i="4"/>
  <c r="N67" i="4"/>
  <c r="N77" i="4"/>
  <c r="N75" i="4"/>
  <c r="O58" i="4"/>
  <c r="O85" i="4" s="1"/>
  <c r="N65" i="4"/>
  <c r="N92" i="4" s="1"/>
  <c r="N61" i="4"/>
  <c r="O59" i="4"/>
  <c r="O86" i="4" s="1"/>
  <c r="N56" i="4"/>
  <c r="N57" i="4"/>
  <c r="O62" i="4"/>
  <c r="H13" i="8" l="1"/>
  <c r="J7" i="8"/>
  <c r="I137" i="8"/>
  <c r="I140" i="8" s="1"/>
  <c r="I139" i="8" s="1"/>
  <c r="I129" i="8"/>
  <c r="I131" i="8" s="1"/>
  <c r="I134" i="8" s="1"/>
  <c r="I133" i="8" s="1"/>
  <c r="Q115" i="4"/>
  <c r="Q141" i="4" s="1"/>
  <c r="O135" i="8" s="1"/>
  <c r="P87" i="4"/>
  <c r="N270" i="7" s="1"/>
  <c r="N272" i="7" s="1"/>
  <c r="N275" i="7" s="1"/>
  <c r="N274" i="7" s="1"/>
  <c r="N102" i="4"/>
  <c r="L246" i="7" s="1"/>
  <c r="L248" i="7" s="1"/>
  <c r="L251" i="7" s="1"/>
  <c r="L250" i="7" s="1"/>
  <c r="N26" i="4"/>
  <c r="M105" i="4"/>
  <c r="K264" i="7" s="1"/>
  <c r="K266" i="7" s="1"/>
  <c r="K269" i="7" s="1"/>
  <c r="K268" i="7" s="1"/>
  <c r="N104" i="4"/>
  <c r="L258" i="7" s="1"/>
  <c r="L260" i="7" s="1"/>
  <c r="L263" i="7" s="1"/>
  <c r="L262" i="7" s="1"/>
  <c r="N103" i="4"/>
  <c r="L252" i="7" s="1"/>
  <c r="L254" i="7" s="1"/>
  <c r="L257" i="7" s="1"/>
  <c r="L256" i="7" s="1"/>
  <c r="N97" i="4"/>
  <c r="L216" i="7" s="1"/>
  <c r="L218" i="7" s="1"/>
  <c r="L221" i="7" s="1"/>
  <c r="L220" i="7" s="1"/>
  <c r="N94" i="4"/>
  <c r="L198" i="7" s="1"/>
  <c r="L200" i="7" s="1"/>
  <c r="L203" i="7" s="1"/>
  <c r="L202" i="7" s="1"/>
  <c r="M93" i="4"/>
  <c r="K192" i="7" s="1"/>
  <c r="K194" i="7" s="1"/>
  <c r="K197" i="7" s="1"/>
  <c r="K196" i="7" s="1"/>
  <c r="L186" i="7"/>
  <c r="N90" i="4"/>
  <c r="L174" i="7" s="1"/>
  <c r="L176" i="7" s="1"/>
  <c r="L179" i="7" s="1"/>
  <c r="L178" i="7" s="1"/>
  <c r="O89" i="4"/>
  <c r="M168" i="7" s="1"/>
  <c r="M170" i="7" s="1"/>
  <c r="M173" i="7" s="1"/>
  <c r="M172" i="7" s="1"/>
  <c r="N88" i="4"/>
  <c r="L162" i="7" s="1"/>
  <c r="L164" i="7" s="1"/>
  <c r="L167" i="7" s="1"/>
  <c r="L166" i="7" s="1"/>
  <c r="M156" i="7"/>
  <c r="M158" i="7" s="1"/>
  <c r="M161" i="7" s="1"/>
  <c r="M160" i="7" s="1"/>
  <c r="M150" i="7"/>
  <c r="M152" i="7" s="1"/>
  <c r="M155" i="7" s="1"/>
  <c r="M154" i="7" s="1"/>
  <c r="N84" i="4"/>
  <c r="L144" i="7" s="1"/>
  <c r="L146" i="7" s="1"/>
  <c r="L149" i="7" s="1"/>
  <c r="L148" i="7" s="1"/>
  <c r="K5" i="8"/>
  <c r="K8" i="8" s="1"/>
  <c r="K140" i="7"/>
  <c r="K143" i="7" s="1"/>
  <c r="J142" i="7"/>
  <c r="Q130" i="4"/>
  <c r="Q131" i="4"/>
  <c r="N95" i="4"/>
  <c r="L204" i="7" s="1"/>
  <c r="L206" i="7" s="1"/>
  <c r="L209" i="7" s="1"/>
  <c r="L208" i="7" s="1"/>
  <c r="L180" i="7"/>
  <c r="L182" i="7" s="1"/>
  <c r="L185" i="7" s="1"/>
  <c r="L184" i="7" s="1"/>
  <c r="M79" i="4"/>
  <c r="K214" i="4"/>
  <c r="L188" i="7"/>
  <c r="L191" i="7" s="1"/>
  <c r="L190" i="7" s="1"/>
  <c r="N66" i="4"/>
  <c r="M187" i="4"/>
  <c r="L213" i="4"/>
  <c r="L159" i="4" s="1"/>
  <c r="N83" i="4"/>
  <c r="L138" i="7" s="1"/>
  <c r="N78" i="4"/>
  <c r="I11" i="8"/>
  <c r="I14" i="8" s="1"/>
  <c r="J81" i="8"/>
  <c r="J83" i="8" s="1"/>
  <c r="J86" i="8" s="1"/>
  <c r="J85" i="8" s="1"/>
  <c r="L3" i="8"/>
  <c r="J51" i="8"/>
  <c r="J53" i="8" s="1"/>
  <c r="J56" i="8" s="1"/>
  <c r="J55" i="8" s="1"/>
  <c r="L138" i="4"/>
  <c r="J9" i="8" s="1"/>
  <c r="J21" i="8"/>
  <c r="J23" i="8" s="1"/>
  <c r="J26" i="8" s="1"/>
  <c r="J25" i="8" s="1"/>
  <c r="J15" i="8"/>
  <c r="J17" i="8" s="1"/>
  <c r="J20" i="8" s="1"/>
  <c r="J19" i="8" s="1"/>
  <c r="M145" i="4"/>
  <c r="K45" i="8" s="1"/>
  <c r="K47" i="8" s="1"/>
  <c r="K50" i="8" s="1"/>
  <c r="K49" i="8" s="1"/>
  <c r="L27" i="8"/>
  <c r="L29" i="8" s="1"/>
  <c r="L32" i="8" s="1"/>
  <c r="L31" i="8" s="1"/>
  <c r="J63" i="8"/>
  <c r="J65" i="8" s="1"/>
  <c r="J68" i="8" s="1"/>
  <c r="J67" i="8" s="1"/>
  <c r="O191" i="4"/>
  <c r="O69" i="4"/>
  <c r="O96" i="4" s="1"/>
  <c r="O204" i="4"/>
  <c r="O63" i="4"/>
  <c r="O198" i="4"/>
  <c r="M39" i="8" s="1"/>
  <c r="M41" i="8" s="1"/>
  <c r="M44" i="8" s="1"/>
  <c r="M43" i="8" s="1"/>
  <c r="M205" i="4"/>
  <c r="M151" i="4" s="1"/>
  <c r="N179" i="4"/>
  <c r="O185" i="4"/>
  <c r="N211" i="4"/>
  <c r="N157" i="4" s="1"/>
  <c r="L117" i="8" s="1"/>
  <c r="L119" i="8" s="1"/>
  <c r="L122" i="8" s="1"/>
  <c r="L121" i="8" s="1"/>
  <c r="O184" i="4"/>
  <c r="N210" i="4"/>
  <c r="N156" i="4" s="1"/>
  <c r="L111" i="8" s="1"/>
  <c r="L113" i="8" s="1"/>
  <c r="L116" i="8" s="1"/>
  <c r="L115" i="8" s="1"/>
  <c r="O186" i="4"/>
  <c r="N212" i="4"/>
  <c r="N158" i="4" s="1"/>
  <c r="L123" i="8" s="1"/>
  <c r="L125" i="8" s="1"/>
  <c r="L128" i="8" s="1"/>
  <c r="L127" i="8" s="1"/>
  <c r="N174" i="4"/>
  <c r="M200" i="4"/>
  <c r="M146" i="4" s="1"/>
  <c r="N171" i="4"/>
  <c r="M197" i="4"/>
  <c r="M143" i="4" s="1"/>
  <c r="K33" i="8" s="1"/>
  <c r="K35" i="8" s="1"/>
  <c r="K38" i="8" s="1"/>
  <c r="K37" i="8" s="1"/>
  <c r="N166" i="4"/>
  <c r="M192" i="4"/>
  <c r="N168" i="4"/>
  <c r="M194" i="4"/>
  <c r="M140" i="4" s="1"/>
  <c r="N167" i="4"/>
  <c r="M193" i="4"/>
  <c r="M139" i="4" s="1"/>
  <c r="O173" i="4"/>
  <c r="N199" i="4"/>
  <c r="P177" i="4"/>
  <c r="O203" i="4"/>
  <c r="O149" i="4" s="1"/>
  <c r="M69" i="8" s="1"/>
  <c r="M71" i="8" s="1"/>
  <c r="M74" i="8" s="1"/>
  <c r="M73" i="8" s="1"/>
  <c r="P170" i="4"/>
  <c r="O196" i="4"/>
  <c r="O142" i="4" s="1"/>
  <c r="N176" i="4"/>
  <c r="M202" i="4"/>
  <c r="M148" i="4" s="1"/>
  <c r="K57" i="8"/>
  <c r="I61" i="8"/>
  <c r="O175" i="4"/>
  <c r="N201" i="4"/>
  <c r="N147" i="4" s="1"/>
  <c r="J59" i="8"/>
  <c r="J62" i="8" s="1"/>
  <c r="Q113" i="4"/>
  <c r="P111" i="4"/>
  <c r="P116" i="4"/>
  <c r="P120" i="4"/>
  <c r="P112" i="4"/>
  <c r="P123" i="4"/>
  <c r="P122" i="4"/>
  <c r="P119" i="4"/>
  <c r="P118" i="4"/>
  <c r="Q114" i="4"/>
  <c r="Q121" i="4"/>
  <c r="Q117" i="4"/>
  <c r="P62" i="4"/>
  <c r="P89" i="4" s="1"/>
  <c r="O57" i="4"/>
  <c r="O56" i="4"/>
  <c r="P59" i="4"/>
  <c r="O61" i="4"/>
  <c r="O65" i="4"/>
  <c r="P58" i="4"/>
  <c r="P85" i="4" s="1"/>
  <c r="O75" i="4"/>
  <c r="O77" i="4"/>
  <c r="O67" i="4"/>
  <c r="O68" i="4"/>
  <c r="O95" i="4" s="1"/>
  <c r="O64" i="4"/>
  <c r="O91" i="4" s="1"/>
  <c r="O76" i="4"/>
  <c r="P150" i="4"/>
  <c r="O70" i="4"/>
  <c r="K7" i="8" l="1"/>
  <c r="J137" i="8"/>
  <c r="J140" i="8" s="1"/>
  <c r="J139" i="8" s="1"/>
  <c r="J129" i="8"/>
  <c r="J131" i="8" s="1"/>
  <c r="J134" i="8" s="1"/>
  <c r="J133" i="8" s="1"/>
  <c r="R115" i="4"/>
  <c r="R141" i="4" s="1"/>
  <c r="P135" i="8" s="1"/>
  <c r="Q87" i="4"/>
  <c r="O270" i="7" s="1"/>
  <c r="O272" i="7" s="1"/>
  <c r="O275" i="7" s="1"/>
  <c r="O274" i="7" s="1"/>
  <c r="O102" i="4"/>
  <c r="M246" i="7" s="1"/>
  <c r="M248" i="7" s="1"/>
  <c r="M251" i="7" s="1"/>
  <c r="M250" i="7" s="1"/>
  <c r="N105" i="4"/>
  <c r="L264" i="7" s="1"/>
  <c r="L266" i="7" s="1"/>
  <c r="L269" i="7" s="1"/>
  <c r="L268" i="7" s="1"/>
  <c r="O104" i="4"/>
  <c r="M258" i="7" s="1"/>
  <c r="M260" i="7" s="1"/>
  <c r="M263" i="7" s="1"/>
  <c r="M262" i="7" s="1"/>
  <c r="O103" i="4"/>
  <c r="M252" i="7" s="1"/>
  <c r="M254" i="7" s="1"/>
  <c r="M257" i="7" s="1"/>
  <c r="M256" i="7" s="1"/>
  <c r="Q150" i="4"/>
  <c r="O97" i="4"/>
  <c r="M216" i="7" s="1"/>
  <c r="M218" i="7" s="1"/>
  <c r="M221" i="7" s="1"/>
  <c r="M220" i="7" s="1"/>
  <c r="O94" i="4"/>
  <c r="M198" i="7" s="1"/>
  <c r="M200" i="7" s="1"/>
  <c r="M203" i="7" s="1"/>
  <c r="M202" i="7" s="1"/>
  <c r="N93" i="4"/>
  <c r="L192" i="7" s="1"/>
  <c r="L194" i="7" s="1"/>
  <c r="L197" i="7" s="1"/>
  <c r="L196" i="7" s="1"/>
  <c r="O92" i="4"/>
  <c r="M186" i="7" s="1"/>
  <c r="M188" i="7" s="1"/>
  <c r="M191" i="7" s="1"/>
  <c r="M190" i="7" s="1"/>
  <c r="O90" i="4"/>
  <c r="M174" i="7" s="1"/>
  <c r="M176" i="7" s="1"/>
  <c r="M179" i="7" s="1"/>
  <c r="M178" i="7" s="1"/>
  <c r="N168" i="7"/>
  <c r="N170" i="7" s="1"/>
  <c r="N173" i="7" s="1"/>
  <c r="N172" i="7" s="1"/>
  <c r="O88" i="4"/>
  <c r="M162" i="7" s="1"/>
  <c r="M164" i="7" s="1"/>
  <c r="M167" i="7" s="1"/>
  <c r="M166" i="7" s="1"/>
  <c r="P86" i="4"/>
  <c r="N156" i="7" s="1"/>
  <c r="N158" i="7" s="1"/>
  <c r="N161" i="7" s="1"/>
  <c r="N160" i="7" s="1"/>
  <c r="N150" i="7"/>
  <c r="N152" i="7" s="1"/>
  <c r="N155" i="7" s="1"/>
  <c r="N154" i="7" s="1"/>
  <c r="O84" i="4"/>
  <c r="M144" i="7" s="1"/>
  <c r="M146" i="7" s="1"/>
  <c r="M149" i="7" s="1"/>
  <c r="M148" i="7" s="1"/>
  <c r="L5" i="8"/>
  <c r="L8" i="8" s="1"/>
  <c r="I13" i="8"/>
  <c r="L140" i="7"/>
  <c r="L143" i="7" s="1"/>
  <c r="K142" i="7"/>
  <c r="R130" i="4"/>
  <c r="R131" i="4"/>
  <c r="M204" i="7"/>
  <c r="M206" i="7" s="1"/>
  <c r="M209" i="7" s="1"/>
  <c r="M208" i="7" s="1"/>
  <c r="M180" i="7"/>
  <c r="M182" i="7" s="1"/>
  <c r="M185" i="7" s="1"/>
  <c r="M184" i="7" s="1"/>
  <c r="N79" i="4"/>
  <c r="O66" i="4"/>
  <c r="M213" i="4"/>
  <c r="M159" i="4" s="1"/>
  <c r="N187" i="4"/>
  <c r="O83" i="4"/>
  <c r="M138" i="7" s="1"/>
  <c r="L214" i="4"/>
  <c r="O78" i="4"/>
  <c r="O26" i="4"/>
  <c r="J11" i="8"/>
  <c r="J14" i="8" s="1"/>
  <c r="K63" i="8"/>
  <c r="K65" i="8" s="1"/>
  <c r="K68" i="8" s="1"/>
  <c r="K67" i="8" s="1"/>
  <c r="M27" i="8"/>
  <c r="M29" i="8" s="1"/>
  <c r="M32" i="8" s="1"/>
  <c r="M31" i="8" s="1"/>
  <c r="N145" i="4"/>
  <c r="L45" i="8" s="1"/>
  <c r="L47" i="8" s="1"/>
  <c r="L50" i="8" s="1"/>
  <c r="L49" i="8" s="1"/>
  <c r="K15" i="8"/>
  <c r="K17" i="8" s="1"/>
  <c r="K20" i="8" s="1"/>
  <c r="K19" i="8" s="1"/>
  <c r="K21" i="8"/>
  <c r="K23" i="8" s="1"/>
  <c r="K26" i="8" s="1"/>
  <c r="K25" i="8" s="1"/>
  <c r="M138" i="4"/>
  <c r="K9" i="8" s="1"/>
  <c r="K51" i="8"/>
  <c r="K53" i="8" s="1"/>
  <c r="K56" i="8" s="1"/>
  <c r="K55" i="8" s="1"/>
  <c r="K81" i="8"/>
  <c r="K83" i="8" s="1"/>
  <c r="K86" i="8" s="1"/>
  <c r="K85" i="8" s="1"/>
  <c r="M3" i="8"/>
  <c r="P63" i="4"/>
  <c r="P198" i="4"/>
  <c r="N39" i="8" s="1"/>
  <c r="N41" i="8" s="1"/>
  <c r="N44" i="8" s="1"/>
  <c r="N43" i="8" s="1"/>
  <c r="P191" i="4"/>
  <c r="P69" i="4"/>
  <c r="P96" i="4" s="1"/>
  <c r="P204" i="4"/>
  <c r="O176" i="4"/>
  <c r="N202" i="4"/>
  <c r="N148" i="4" s="1"/>
  <c r="Q170" i="4"/>
  <c r="P196" i="4"/>
  <c r="P142" i="4" s="1"/>
  <c r="Q177" i="4"/>
  <c r="P203" i="4"/>
  <c r="P149" i="4" s="1"/>
  <c r="N69" i="8" s="1"/>
  <c r="N71" i="8" s="1"/>
  <c r="N74" i="8" s="1"/>
  <c r="N73" i="8" s="1"/>
  <c r="P173" i="4"/>
  <c r="O199" i="4"/>
  <c r="O167" i="4"/>
  <c r="N193" i="4"/>
  <c r="N139" i="4" s="1"/>
  <c r="O168" i="4"/>
  <c r="N194" i="4"/>
  <c r="N140" i="4" s="1"/>
  <c r="O166" i="4"/>
  <c r="N192" i="4"/>
  <c r="O171" i="4"/>
  <c r="N197" i="4"/>
  <c r="N143" i="4" s="1"/>
  <c r="L33" i="8" s="1"/>
  <c r="L35" i="8" s="1"/>
  <c r="L38" i="8" s="1"/>
  <c r="L37" i="8" s="1"/>
  <c r="O174" i="4"/>
  <c r="N200" i="4"/>
  <c r="N146" i="4" s="1"/>
  <c r="P186" i="4"/>
  <c r="O212" i="4"/>
  <c r="O158" i="4" s="1"/>
  <c r="M123" i="8" s="1"/>
  <c r="M125" i="8" s="1"/>
  <c r="M128" i="8" s="1"/>
  <c r="M127" i="8" s="1"/>
  <c r="P184" i="4"/>
  <c r="O210" i="4"/>
  <c r="O156" i="4" s="1"/>
  <c r="M111" i="8" s="1"/>
  <c r="M113" i="8" s="1"/>
  <c r="M116" i="8" s="1"/>
  <c r="M115" i="8" s="1"/>
  <c r="P185" i="4"/>
  <c r="O211" i="4"/>
  <c r="O157" i="4" s="1"/>
  <c r="M117" i="8" s="1"/>
  <c r="M119" i="8" s="1"/>
  <c r="M122" i="8" s="1"/>
  <c r="M121" i="8" s="1"/>
  <c r="N205" i="4"/>
  <c r="N151" i="4" s="1"/>
  <c r="O179" i="4"/>
  <c r="L57" i="8"/>
  <c r="J61" i="8"/>
  <c r="P175" i="4"/>
  <c r="O201" i="4"/>
  <c r="O147" i="4" s="1"/>
  <c r="K59" i="8"/>
  <c r="K62" i="8" s="1"/>
  <c r="R117" i="4"/>
  <c r="R121" i="4"/>
  <c r="R114" i="4"/>
  <c r="Q118" i="4"/>
  <c r="Q119" i="4"/>
  <c r="Q122" i="4"/>
  <c r="Q123" i="4"/>
  <c r="Q112" i="4"/>
  <c r="Q120" i="4"/>
  <c r="Q116" i="4"/>
  <c r="Q111" i="4"/>
  <c r="R113" i="4"/>
  <c r="P70" i="4"/>
  <c r="P76" i="4"/>
  <c r="P64" i="4"/>
  <c r="P68" i="4"/>
  <c r="P67" i="4"/>
  <c r="P77" i="4"/>
  <c r="P75" i="4"/>
  <c r="Q58" i="4"/>
  <c r="P65" i="4"/>
  <c r="P61" i="4"/>
  <c r="P88" i="4" s="1"/>
  <c r="Q59" i="4"/>
  <c r="P56" i="4"/>
  <c r="P57" i="4"/>
  <c r="Q62" i="4"/>
  <c r="L7" i="8" l="1"/>
  <c r="K137" i="8"/>
  <c r="K140" i="8" s="1"/>
  <c r="K139" i="8" s="1"/>
  <c r="K129" i="8"/>
  <c r="K131" i="8" s="1"/>
  <c r="K134" i="8" s="1"/>
  <c r="K133" i="8" s="1"/>
  <c r="S115" i="4"/>
  <c r="R87" i="4"/>
  <c r="P270" i="7" s="1"/>
  <c r="P272" i="7" s="1"/>
  <c r="P275" i="7" s="1"/>
  <c r="P274" i="7" s="1"/>
  <c r="P102" i="4"/>
  <c r="N246" i="7" s="1"/>
  <c r="N248" i="7" s="1"/>
  <c r="N251" i="7" s="1"/>
  <c r="N250" i="7" s="1"/>
  <c r="O105" i="4"/>
  <c r="M264" i="7" s="1"/>
  <c r="M266" i="7" s="1"/>
  <c r="M269" i="7" s="1"/>
  <c r="M268" i="7" s="1"/>
  <c r="P104" i="4"/>
  <c r="N258" i="7" s="1"/>
  <c r="N260" i="7" s="1"/>
  <c r="N263" i="7" s="1"/>
  <c r="N262" i="7" s="1"/>
  <c r="P103" i="4"/>
  <c r="N252" i="7" s="1"/>
  <c r="N254" i="7" s="1"/>
  <c r="N257" i="7" s="1"/>
  <c r="N256" i="7" s="1"/>
  <c r="P97" i="4"/>
  <c r="N216" i="7" s="1"/>
  <c r="N218" i="7" s="1"/>
  <c r="N221" i="7" s="1"/>
  <c r="N220" i="7" s="1"/>
  <c r="R150" i="4"/>
  <c r="P94" i="4"/>
  <c r="N198" i="7" s="1"/>
  <c r="N200" i="7" s="1"/>
  <c r="N203" i="7" s="1"/>
  <c r="N202" i="7" s="1"/>
  <c r="O93" i="4"/>
  <c r="M192" i="7" s="1"/>
  <c r="M194" i="7" s="1"/>
  <c r="M197" i="7" s="1"/>
  <c r="M196" i="7" s="1"/>
  <c r="P92" i="4"/>
  <c r="N186" i="7" s="1"/>
  <c r="N188" i="7" s="1"/>
  <c r="N191" i="7" s="1"/>
  <c r="N190" i="7" s="1"/>
  <c r="P90" i="4"/>
  <c r="N174" i="7" s="1"/>
  <c r="N176" i="7" s="1"/>
  <c r="N179" i="7" s="1"/>
  <c r="N178" i="7" s="1"/>
  <c r="Q89" i="4"/>
  <c r="O168" i="7" s="1"/>
  <c r="O170" i="7" s="1"/>
  <c r="O173" i="7" s="1"/>
  <c r="O172" i="7" s="1"/>
  <c r="N162" i="7"/>
  <c r="N164" i="7" s="1"/>
  <c r="N167" i="7" s="1"/>
  <c r="N166" i="7" s="1"/>
  <c r="Q86" i="4"/>
  <c r="O156" i="7" s="1"/>
  <c r="O158" i="7" s="1"/>
  <c r="O161" i="7" s="1"/>
  <c r="O160" i="7" s="1"/>
  <c r="Q85" i="4"/>
  <c r="O150" i="7" s="1"/>
  <c r="O152" i="7" s="1"/>
  <c r="O155" i="7" s="1"/>
  <c r="O154" i="7" s="1"/>
  <c r="P84" i="4"/>
  <c r="N144" i="7" s="1"/>
  <c r="N146" i="7" s="1"/>
  <c r="N149" i="7" s="1"/>
  <c r="N148" i="7" s="1"/>
  <c r="M5" i="8"/>
  <c r="M8" i="8" s="1"/>
  <c r="J13" i="8"/>
  <c r="M140" i="7"/>
  <c r="M143" i="7" s="1"/>
  <c r="L142" i="7"/>
  <c r="S130" i="4"/>
  <c r="S131" i="4"/>
  <c r="P95" i="4"/>
  <c r="N204" i="7" s="1"/>
  <c r="N206" i="7" s="1"/>
  <c r="N209" i="7" s="1"/>
  <c r="N208" i="7" s="1"/>
  <c r="P91" i="4"/>
  <c r="N180" i="7" s="1"/>
  <c r="N182" i="7" s="1"/>
  <c r="N185" i="7" s="1"/>
  <c r="N184" i="7" s="1"/>
  <c r="S121" i="4"/>
  <c r="S117" i="4"/>
  <c r="S114" i="4"/>
  <c r="S113" i="4"/>
  <c r="R59" i="4"/>
  <c r="R86" i="4" s="1"/>
  <c r="P156" i="7" s="1"/>
  <c r="P158" i="7" s="1"/>
  <c r="P161" i="7" s="1"/>
  <c r="P160" i="7" s="1"/>
  <c r="R62" i="4"/>
  <c r="R89" i="4" s="1"/>
  <c r="R58" i="4"/>
  <c r="R85" i="4" s="1"/>
  <c r="P150" i="7" s="1"/>
  <c r="P152" i="7" s="1"/>
  <c r="P155" i="7" s="1"/>
  <c r="P154" i="7" s="1"/>
  <c r="S58" i="4"/>
  <c r="O79" i="4"/>
  <c r="M214" i="4"/>
  <c r="P78" i="4"/>
  <c r="P66" i="4"/>
  <c r="O187" i="4"/>
  <c r="N213" i="4"/>
  <c r="N159" i="4" s="1"/>
  <c r="P83" i="4"/>
  <c r="N138" i="7" s="1"/>
  <c r="P26" i="4"/>
  <c r="K11" i="8"/>
  <c r="K14" i="8" s="1"/>
  <c r="L81" i="8"/>
  <c r="L83" i="8" s="1"/>
  <c r="L86" i="8" s="1"/>
  <c r="L85" i="8" s="1"/>
  <c r="L51" i="8"/>
  <c r="L53" i="8" s="1"/>
  <c r="L56" i="8" s="1"/>
  <c r="L55" i="8" s="1"/>
  <c r="N138" i="4"/>
  <c r="L9" i="8" s="1"/>
  <c r="L21" i="8"/>
  <c r="L23" i="8" s="1"/>
  <c r="L26" i="8" s="1"/>
  <c r="L25" i="8" s="1"/>
  <c r="L15" i="8"/>
  <c r="L17" i="8" s="1"/>
  <c r="L20" i="8" s="1"/>
  <c r="L19" i="8" s="1"/>
  <c r="O145" i="4"/>
  <c r="M45" i="8" s="1"/>
  <c r="M47" i="8" s="1"/>
  <c r="M50" i="8" s="1"/>
  <c r="M49" i="8" s="1"/>
  <c r="N27" i="8"/>
  <c r="N29" i="8" s="1"/>
  <c r="N32" i="8" s="1"/>
  <c r="N31" i="8" s="1"/>
  <c r="L63" i="8"/>
  <c r="L65" i="8" s="1"/>
  <c r="L68" i="8" s="1"/>
  <c r="L67" i="8" s="1"/>
  <c r="N3" i="8"/>
  <c r="Q63" i="4"/>
  <c r="Q198" i="4"/>
  <c r="O39" i="8" s="1"/>
  <c r="O41" i="8" s="1"/>
  <c r="O44" i="8" s="1"/>
  <c r="O43" i="8" s="1"/>
  <c r="Q191" i="4"/>
  <c r="Q69" i="4"/>
  <c r="Q96" i="4" s="1"/>
  <c r="Q204" i="4"/>
  <c r="O205" i="4"/>
  <c r="O151" i="4" s="1"/>
  <c r="P179" i="4"/>
  <c r="Q185" i="4"/>
  <c r="P211" i="4"/>
  <c r="P157" i="4" s="1"/>
  <c r="N117" i="8" s="1"/>
  <c r="N119" i="8" s="1"/>
  <c r="N122" i="8" s="1"/>
  <c r="N121" i="8" s="1"/>
  <c r="Q184" i="4"/>
  <c r="P210" i="4"/>
  <c r="P156" i="4" s="1"/>
  <c r="N111" i="8" s="1"/>
  <c r="N113" i="8" s="1"/>
  <c r="N116" i="8" s="1"/>
  <c r="N115" i="8" s="1"/>
  <c r="Q186" i="4"/>
  <c r="P212" i="4"/>
  <c r="P158" i="4" s="1"/>
  <c r="N123" i="8" s="1"/>
  <c r="N125" i="8" s="1"/>
  <c r="N128" i="8" s="1"/>
  <c r="N127" i="8" s="1"/>
  <c r="P174" i="4"/>
  <c r="O200" i="4"/>
  <c r="O146" i="4" s="1"/>
  <c r="P171" i="4"/>
  <c r="O197" i="4"/>
  <c r="O143" i="4" s="1"/>
  <c r="M33" i="8" s="1"/>
  <c r="M35" i="8" s="1"/>
  <c r="M38" i="8" s="1"/>
  <c r="M37" i="8" s="1"/>
  <c r="P166" i="4"/>
  <c r="O192" i="4"/>
  <c r="P168" i="4"/>
  <c r="O194" i="4"/>
  <c r="O140" i="4" s="1"/>
  <c r="P167" i="4"/>
  <c r="O193" i="4"/>
  <c r="O139" i="4" s="1"/>
  <c r="Q173" i="4"/>
  <c r="P199" i="4"/>
  <c r="R177" i="4"/>
  <c r="S177" i="4" s="1"/>
  <c r="Q203" i="4"/>
  <c r="Q149" i="4" s="1"/>
  <c r="O69" i="8" s="1"/>
  <c r="O71" i="8" s="1"/>
  <c r="O74" i="8" s="1"/>
  <c r="O73" i="8" s="1"/>
  <c r="R170" i="4"/>
  <c r="S170" i="4" s="1"/>
  <c r="Q196" i="4"/>
  <c r="Q142" i="4" s="1"/>
  <c r="P176" i="4"/>
  <c r="O202" i="4"/>
  <c r="O148" i="4" s="1"/>
  <c r="M57" i="8"/>
  <c r="K61" i="8"/>
  <c r="Q175" i="4"/>
  <c r="P201" i="4"/>
  <c r="P147" i="4" s="1"/>
  <c r="L59" i="8"/>
  <c r="L62" i="8" s="1"/>
  <c r="R111" i="4"/>
  <c r="S111" i="4" s="1"/>
  <c r="R116" i="4"/>
  <c r="R120" i="4"/>
  <c r="R112" i="4"/>
  <c r="S112" i="4" s="1"/>
  <c r="R123" i="4"/>
  <c r="R122" i="4"/>
  <c r="R119" i="4"/>
  <c r="R118" i="4"/>
  <c r="Q57" i="4"/>
  <c r="Q56" i="4"/>
  <c r="Q61" i="4"/>
  <c r="Q65" i="4"/>
  <c r="Q92" i="4" s="1"/>
  <c r="Q75" i="4"/>
  <c r="Q77" i="4"/>
  <c r="Q67" i="4"/>
  <c r="Q68" i="4"/>
  <c r="Q95" i="4" s="1"/>
  <c r="Q64" i="4"/>
  <c r="Q76" i="4"/>
  <c r="Q70" i="4"/>
  <c r="S87" i="4" l="1"/>
  <c r="Q270" i="7" s="1"/>
  <c r="Q272" i="7" s="1"/>
  <c r="Q275" i="7" s="1"/>
  <c r="Q274" i="7" s="1"/>
  <c r="S141" i="4"/>
  <c r="Q135" i="8" s="1"/>
  <c r="M7" i="8"/>
  <c r="L137" i="8"/>
  <c r="L140" i="8" s="1"/>
  <c r="L139" i="8" s="1"/>
  <c r="L129" i="8"/>
  <c r="L131" i="8" s="1"/>
  <c r="L134" i="8" s="1"/>
  <c r="L133" i="8" s="1"/>
  <c r="Q102" i="4"/>
  <c r="O246" i="7" s="1"/>
  <c r="O248" i="7" s="1"/>
  <c r="O251" i="7" s="1"/>
  <c r="O250" i="7" s="1"/>
  <c r="P105" i="4"/>
  <c r="N264" i="7" s="1"/>
  <c r="N266" i="7" s="1"/>
  <c r="N269" i="7" s="1"/>
  <c r="N268" i="7" s="1"/>
  <c r="Q104" i="4"/>
  <c r="O258" i="7" s="1"/>
  <c r="O260" i="7" s="1"/>
  <c r="O263" i="7" s="1"/>
  <c r="O262" i="7" s="1"/>
  <c r="Q103" i="4"/>
  <c r="O252" i="7" s="1"/>
  <c r="O254" i="7" s="1"/>
  <c r="O257" i="7" s="1"/>
  <c r="O256" i="7" s="1"/>
  <c r="S69" i="4"/>
  <c r="S96" i="4" s="1"/>
  <c r="Q210" i="7" s="1"/>
  <c r="Q212" i="7" s="1"/>
  <c r="Q215" i="7" s="1"/>
  <c r="Q214" i="7" s="1"/>
  <c r="S204" i="4"/>
  <c r="Q97" i="4"/>
  <c r="O216" i="7" s="1"/>
  <c r="O218" i="7" s="1"/>
  <c r="O221" i="7" s="1"/>
  <c r="O220" i="7" s="1"/>
  <c r="Q94" i="4"/>
  <c r="O198" i="7" s="1"/>
  <c r="O200" i="7" s="1"/>
  <c r="O203" i="7" s="1"/>
  <c r="O202" i="7" s="1"/>
  <c r="P93" i="4"/>
  <c r="N192" i="7" s="1"/>
  <c r="N194" i="7" s="1"/>
  <c r="N197" i="7" s="1"/>
  <c r="N196" i="7" s="1"/>
  <c r="O186" i="7"/>
  <c r="O188" i="7" s="1"/>
  <c r="O191" i="7" s="1"/>
  <c r="O190" i="7" s="1"/>
  <c r="S63" i="4"/>
  <c r="S198" i="4"/>
  <c r="Q90" i="4"/>
  <c r="O174" i="7" s="1"/>
  <c r="O176" i="7" s="1"/>
  <c r="O179" i="7" s="1"/>
  <c r="O178" i="7" s="1"/>
  <c r="S62" i="4"/>
  <c r="S89" i="4" s="1"/>
  <c r="Q168" i="7" s="1"/>
  <c r="Q170" i="7" s="1"/>
  <c r="Q173" i="7" s="1"/>
  <c r="Q172" i="7" s="1"/>
  <c r="P168" i="7"/>
  <c r="P170" i="7" s="1"/>
  <c r="P173" i="7" s="1"/>
  <c r="P172" i="7" s="1"/>
  <c r="Q88" i="4"/>
  <c r="O162" i="7" s="1"/>
  <c r="O164" i="7" s="1"/>
  <c r="O167" i="7" s="1"/>
  <c r="O166" i="7" s="1"/>
  <c r="S59" i="4"/>
  <c r="S86" i="4" s="1"/>
  <c r="Q156" i="7" s="1"/>
  <c r="Q158" i="7" s="1"/>
  <c r="Q161" i="7" s="1"/>
  <c r="Q160" i="7" s="1"/>
  <c r="Q84" i="4"/>
  <c r="O144" i="7" s="1"/>
  <c r="O146" i="7" s="1"/>
  <c r="O149" i="7" s="1"/>
  <c r="O148" i="7" s="1"/>
  <c r="S56" i="4"/>
  <c r="S83" i="4" s="1"/>
  <c r="Q138" i="7" s="1"/>
  <c r="S191" i="4"/>
  <c r="Q3" i="8" s="1"/>
  <c r="N5" i="8"/>
  <c r="N8" i="8" s="1"/>
  <c r="K13" i="8"/>
  <c r="N140" i="7"/>
  <c r="N143" i="7" s="1"/>
  <c r="M142" i="7"/>
  <c r="O204" i="7"/>
  <c r="O206" i="7" s="1"/>
  <c r="O209" i="7" s="1"/>
  <c r="O208" i="7" s="1"/>
  <c r="Q91" i="4"/>
  <c r="O180" i="7" s="1"/>
  <c r="O182" i="7" s="1"/>
  <c r="O185" i="7" s="1"/>
  <c r="O184" i="7" s="1"/>
  <c r="S120" i="4"/>
  <c r="S122" i="4"/>
  <c r="S123" i="4"/>
  <c r="S119" i="4"/>
  <c r="S118" i="4"/>
  <c r="S116" i="4"/>
  <c r="S85" i="4"/>
  <c r="P79" i="4"/>
  <c r="R76" i="4"/>
  <c r="S76" i="4"/>
  <c r="S103" i="4" s="1"/>
  <c r="Q252" i="7" s="1"/>
  <c r="Q254" i="7" s="1"/>
  <c r="Q257" i="7" s="1"/>
  <c r="Q256" i="7" s="1"/>
  <c r="R68" i="4"/>
  <c r="R95" i="4" s="1"/>
  <c r="S68" i="4"/>
  <c r="R77" i="4"/>
  <c r="S77" i="4"/>
  <c r="S104" i="4" s="1"/>
  <c r="Q258" i="7" s="1"/>
  <c r="Q260" i="7" s="1"/>
  <c r="Q263" i="7" s="1"/>
  <c r="Q262" i="7" s="1"/>
  <c r="R67" i="4"/>
  <c r="R94" i="4" s="1"/>
  <c r="R75" i="4"/>
  <c r="S75" i="4"/>
  <c r="S102" i="4" s="1"/>
  <c r="Q246" i="7" s="1"/>
  <c r="Q248" i="7" s="1"/>
  <c r="Q251" i="7" s="1"/>
  <c r="Q250" i="7" s="1"/>
  <c r="R61" i="4"/>
  <c r="R88" i="4" s="1"/>
  <c r="R57" i="4"/>
  <c r="R70" i="4"/>
  <c r="S70" i="4"/>
  <c r="S97" i="4" s="1"/>
  <c r="Q216" i="7" s="1"/>
  <c r="Q218" i="7" s="1"/>
  <c r="Q221" i="7" s="1"/>
  <c r="Q220" i="7" s="1"/>
  <c r="R65" i="4"/>
  <c r="S65" i="4"/>
  <c r="R64" i="4"/>
  <c r="R91" i="4" s="1"/>
  <c r="S64" i="4"/>
  <c r="L11" i="8"/>
  <c r="L14" i="8" s="1"/>
  <c r="Q83" i="4"/>
  <c r="O138" i="7" s="1"/>
  <c r="N214" i="4"/>
  <c r="O213" i="4"/>
  <c r="O159" i="4" s="1"/>
  <c r="P187" i="4"/>
  <c r="Q66" i="4"/>
  <c r="Q26" i="4"/>
  <c r="Q78" i="4"/>
  <c r="M81" i="8"/>
  <c r="M83" i="8" s="1"/>
  <c r="M86" i="8" s="1"/>
  <c r="M85" i="8" s="1"/>
  <c r="O3" i="8"/>
  <c r="M63" i="8"/>
  <c r="M65" i="8" s="1"/>
  <c r="M68" i="8" s="1"/>
  <c r="M67" i="8" s="1"/>
  <c r="O27" i="8"/>
  <c r="O29" i="8" s="1"/>
  <c r="O32" i="8" s="1"/>
  <c r="O31" i="8" s="1"/>
  <c r="P145" i="4"/>
  <c r="N45" i="8" s="1"/>
  <c r="N47" i="8" s="1"/>
  <c r="N50" i="8" s="1"/>
  <c r="N49" i="8" s="1"/>
  <c r="M15" i="8"/>
  <c r="M17" i="8" s="1"/>
  <c r="M20" i="8" s="1"/>
  <c r="M19" i="8" s="1"/>
  <c r="M21" i="8"/>
  <c r="M23" i="8" s="1"/>
  <c r="M26" i="8" s="1"/>
  <c r="M25" i="8" s="1"/>
  <c r="O138" i="4"/>
  <c r="M9" i="8" s="1"/>
  <c r="M51" i="8"/>
  <c r="M53" i="8" s="1"/>
  <c r="M56" i="8" s="1"/>
  <c r="M55" i="8" s="1"/>
  <c r="R63" i="4"/>
  <c r="R198" i="4"/>
  <c r="P39" i="8" s="1"/>
  <c r="P41" i="8" s="1"/>
  <c r="P44" i="8" s="1"/>
  <c r="P43" i="8" s="1"/>
  <c r="R69" i="4"/>
  <c r="R96" i="4" s="1"/>
  <c r="R204" i="4"/>
  <c r="Q176" i="4"/>
  <c r="P202" i="4"/>
  <c r="P148" i="4" s="1"/>
  <c r="R196" i="4"/>
  <c r="R142" i="4" s="1"/>
  <c r="R203" i="4"/>
  <c r="R149" i="4" s="1"/>
  <c r="P69" i="8" s="1"/>
  <c r="P71" i="8" s="1"/>
  <c r="P74" i="8" s="1"/>
  <c r="P73" i="8" s="1"/>
  <c r="R173" i="4"/>
  <c r="Q199" i="4"/>
  <c r="Q167" i="4"/>
  <c r="P193" i="4"/>
  <c r="P139" i="4" s="1"/>
  <c r="Q168" i="4"/>
  <c r="P194" i="4"/>
  <c r="P140" i="4" s="1"/>
  <c r="Q166" i="4"/>
  <c r="P192" i="4"/>
  <c r="Q171" i="4"/>
  <c r="P197" i="4"/>
  <c r="P143" i="4" s="1"/>
  <c r="N33" i="8" s="1"/>
  <c r="N35" i="8" s="1"/>
  <c r="N38" i="8" s="1"/>
  <c r="N37" i="8" s="1"/>
  <c r="Q174" i="4"/>
  <c r="P200" i="4"/>
  <c r="P146" i="4" s="1"/>
  <c r="R186" i="4"/>
  <c r="Q212" i="4"/>
  <c r="Q158" i="4" s="1"/>
  <c r="O123" i="8" s="1"/>
  <c r="O125" i="8" s="1"/>
  <c r="O128" i="8" s="1"/>
  <c r="O127" i="8" s="1"/>
  <c r="R184" i="4"/>
  <c r="Q210" i="4"/>
  <c r="Q156" i="4" s="1"/>
  <c r="O111" i="8" s="1"/>
  <c r="O113" i="8" s="1"/>
  <c r="O116" i="8" s="1"/>
  <c r="O115" i="8" s="1"/>
  <c r="R185" i="4"/>
  <c r="Q211" i="4"/>
  <c r="Q157" i="4" s="1"/>
  <c r="O117" i="8" s="1"/>
  <c r="O119" i="8" s="1"/>
  <c r="O122" i="8" s="1"/>
  <c r="O121" i="8" s="1"/>
  <c r="R56" i="4"/>
  <c r="R191" i="4"/>
  <c r="P205" i="4"/>
  <c r="P151" i="4" s="1"/>
  <c r="Q179" i="4"/>
  <c r="N57" i="8"/>
  <c r="L61" i="8"/>
  <c r="R175" i="4"/>
  <c r="Q201" i="4"/>
  <c r="Q147" i="4" s="1"/>
  <c r="M59" i="8"/>
  <c r="M62" i="8" s="1"/>
  <c r="N7" i="8" l="1"/>
  <c r="M137" i="8"/>
  <c r="M140" i="8" s="1"/>
  <c r="M139" i="8" s="1"/>
  <c r="M129" i="8"/>
  <c r="M131" i="8" s="1"/>
  <c r="M134" i="8" s="1"/>
  <c r="M133" i="8" s="1"/>
  <c r="R102" i="4"/>
  <c r="P246" i="7" s="1"/>
  <c r="P248" i="7" s="1"/>
  <c r="P251" i="7" s="1"/>
  <c r="P250" i="7" s="1"/>
  <c r="Q105" i="4"/>
  <c r="O264" i="7" s="1"/>
  <c r="O266" i="7" s="1"/>
  <c r="O269" i="7" s="1"/>
  <c r="O268" i="7" s="1"/>
  <c r="R104" i="4"/>
  <c r="P258" i="7" s="1"/>
  <c r="P260" i="7" s="1"/>
  <c r="P263" i="7" s="1"/>
  <c r="P262" i="7" s="1"/>
  <c r="R103" i="4"/>
  <c r="P252" i="7" s="1"/>
  <c r="P254" i="7" s="1"/>
  <c r="P257" i="7" s="1"/>
  <c r="P256" i="7" s="1"/>
  <c r="R97" i="4"/>
  <c r="P216" i="7" s="1"/>
  <c r="P218" i="7" s="1"/>
  <c r="P221" i="7" s="1"/>
  <c r="P220" i="7" s="1"/>
  <c r="S150" i="4"/>
  <c r="Q75" i="8" s="1"/>
  <c r="Q77" i="8" s="1"/>
  <c r="Q80" i="8" s="1"/>
  <c r="Q79" i="8" s="1"/>
  <c r="S203" i="4"/>
  <c r="S149" i="4" s="1"/>
  <c r="Q69" i="8" s="1"/>
  <c r="Q71" i="8" s="1"/>
  <c r="Q74" i="8" s="1"/>
  <c r="Q73" i="8" s="1"/>
  <c r="S67" i="4"/>
  <c r="S94" i="4" s="1"/>
  <c r="Q198" i="7" s="1"/>
  <c r="Q200" i="7" s="1"/>
  <c r="Q203" i="7" s="1"/>
  <c r="Q202" i="7" s="1"/>
  <c r="Q93" i="4"/>
  <c r="O192" i="7" s="1"/>
  <c r="O194" i="7" s="1"/>
  <c r="O197" i="7" s="1"/>
  <c r="O196" i="7" s="1"/>
  <c r="R92" i="4"/>
  <c r="P186" i="7" s="1"/>
  <c r="P188" i="7" s="1"/>
  <c r="P191" i="7" s="1"/>
  <c r="P190" i="7" s="1"/>
  <c r="R90" i="4"/>
  <c r="P174" i="7" s="1"/>
  <c r="P176" i="7" s="1"/>
  <c r="P179" i="7" s="1"/>
  <c r="P178" i="7" s="1"/>
  <c r="S61" i="4"/>
  <c r="S196" i="4"/>
  <c r="S142" i="4" s="1"/>
  <c r="Q27" i="8" s="1"/>
  <c r="Q29" i="8" s="1"/>
  <c r="Q32" i="8" s="1"/>
  <c r="Q31" i="8" s="1"/>
  <c r="R84" i="4"/>
  <c r="P144" i="7" s="1"/>
  <c r="P146" i="7" s="1"/>
  <c r="P149" i="7" s="1"/>
  <c r="P148" i="7" s="1"/>
  <c r="S57" i="4"/>
  <c r="S84" i="4" s="1"/>
  <c r="Q5" i="8"/>
  <c r="Q8" i="8" s="1"/>
  <c r="O5" i="8"/>
  <c r="O8" i="8" s="1"/>
  <c r="L13" i="8"/>
  <c r="O140" i="7"/>
  <c r="O143" i="7" s="1"/>
  <c r="N142" i="7"/>
  <c r="R212" i="4"/>
  <c r="R158" i="4" s="1"/>
  <c r="P123" i="8" s="1"/>
  <c r="P125" i="8" s="1"/>
  <c r="P128" i="8" s="1"/>
  <c r="P127" i="8" s="1"/>
  <c r="S186" i="4"/>
  <c r="S212" i="4" s="1"/>
  <c r="S158" i="4" s="1"/>
  <c r="Q123" i="8" s="1"/>
  <c r="Q125" i="8" s="1"/>
  <c r="Q128" i="8" s="1"/>
  <c r="Q127" i="8" s="1"/>
  <c r="R211" i="4"/>
  <c r="R157" i="4" s="1"/>
  <c r="P117" i="8" s="1"/>
  <c r="P119" i="8" s="1"/>
  <c r="P122" i="8" s="1"/>
  <c r="P121" i="8" s="1"/>
  <c r="S185" i="4"/>
  <c r="S211" i="4" s="1"/>
  <c r="S157" i="4" s="1"/>
  <c r="Q117" i="8" s="1"/>
  <c r="Q119" i="8" s="1"/>
  <c r="Q122" i="8" s="1"/>
  <c r="Q121" i="8" s="1"/>
  <c r="R210" i="4"/>
  <c r="R156" i="4" s="1"/>
  <c r="P111" i="8" s="1"/>
  <c r="P113" i="8" s="1"/>
  <c r="P116" i="8" s="1"/>
  <c r="P115" i="8" s="1"/>
  <c r="S184" i="4"/>
  <c r="S210" i="4" s="1"/>
  <c r="S156" i="4" s="1"/>
  <c r="Q111" i="8" s="1"/>
  <c r="Q113" i="8" s="1"/>
  <c r="Q116" i="8" s="1"/>
  <c r="Q115" i="8" s="1"/>
  <c r="R201" i="4"/>
  <c r="R147" i="4" s="1"/>
  <c r="P57" i="8" s="1"/>
  <c r="S175" i="4"/>
  <c r="R199" i="4"/>
  <c r="R145" i="4" s="1"/>
  <c r="P45" i="8" s="1"/>
  <c r="P47" i="8" s="1"/>
  <c r="P50" i="8" s="1"/>
  <c r="P49" i="8" s="1"/>
  <c r="S173" i="4"/>
  <c r="S199" i="4" s="1"/>
  <c r="S145" i="4" s="1"/>
  <c r="Q45" i="8" s="1"/>
  <c r="Q47" i="8" s="1"/>
  <c r="Q50" i="8" s="1"/>
  <c r="Q49" i="8" s="1"/>
  <c r="P198" i="7"/>
  <c r="P200" i="7" s="1"/>
  <c r="P203" i="7" s="1"/>
  <c r="P202" i="7" s="1"/>
  <c r="P204" i="7"/>
  <c r="P206" i="7" s="1"/>
  <c r="P209" i="7" s="1"/>
  <c r="P208" i="7" s="1"/>
  <c r="S95" i="4"/>
  <c r="Q204" i="7" s="1"/>
  <c r="Q206" i="7" s="1"/>
  <c r="Q209" i="7" s="1"/>
  <c r="Q208" i="7" s="1"/>
  <c r="S92" i="4"/>
  <c r="Q186" i="7" s="1"/>
  <c r="Q188" i="7" s="1"/>
  <c r="Q191" i="7" s="1"/>
  <c r="Q190" i="7" s="1"/>
  <c r="P180" i="7"/>
  <c r="P182" i="7" s="1"/>
  <c r="P185" i="7" s="1"/>
  <c r="P184" i="7" s="1"/>
  <c r="S91" i="4"/>
  <c r="Q180" i="7" s="1"/>
  <c r="Q182" i="7" s="1"/>
  <c r="Q185" i="7" s="1"/>
  <c r="Q184" i="7" s="1"/>
  <c r="Q39" i="8"/>
  <c r="Q41" i="8" s="1"/>
  <c r="Q44" i="8" s="1"/>
  <c r="Q43" i="8" s="1"/>
  <c r="S90" i="4"/>
  <c r="Q174" i="7" s="1"/>
  <c r="Q176" i="7" s="1"/>
  <c r="Q179" i="7" s="1"/>
  <c r="Q178" i="7" s="1"/>
  <c r="P162" i="7"/>
  <c r="P164" i="7" s="1"/>
  <c r="P167" i="7" s="1"/>
  <c r="Q162" i="7"/>
  <c r="Q164" i="7" s="1"/>
  <c r="Q167" i="7" s="1"/>
  <c r="Q166" i="7" s="1"/>
  <c r="R66" i="4"/>
  <c r="S66" i="4"/>
  <c r="S93" i="4" s="1"/>
  <c r="Q192" i="7" s="1"/>
  <c r="Q194" i="7" s="1"/>
  <c r="Q197" i="7" s="1"/>
  <c r="Q196" i="7" s="1"/>
  <c r="R78" i="4"/>
  <c r="S78" i="4"/>
  <c r="S105" i="4" s="1"/>
  <c r="Q264" i="7" s="1"/>
  <c r="Q266" i="7" s="1"/>
  <c r="Q269" i="7" s="1"/>
  <c r="Q268" i="7" s="1"/>
  <c r="O214" i="4"/>
  <c r="R26" i="4"/>
  <c r="Q79" i="4"/>
  <c r="P213" i="4"/>
  <c r="P159" i="4" s="1"/>
  <c r="Q187" i="4"/>
  <c r="R83" i="4"/>
  <c r="P138" i="7" s="1"/>
  <c r="P3" i="8"/>
  <c r="M11" i="8"/>
  <c r="M14" i="8" s="1"/>
  <c r="P27" i="8"/>
  <c r="P29" i="8" s="1"/>
  <c r="P32" i="8" s="1"/>
  <c r="P31" i="8" s="1"/>
  <c r="N81" i="8"/>
  <c r="N83" i="8" s="1"/>
  <c r="N86" i="8" s="1"/>
  <c r="N85" i="8" s="1"/>
  <c r="N51" i="8"/>
  <c r="N53" i="8" s="1"/>
  <c r="N56" i="8" s="1"/>
  <c r="N55" i="8" s="1"/>
  <c r="P138" i="4"/>
  <c r="N9" i="8" s="1"/>
  <c r="N21" i="8"/>
  <c r="N23" i="8" s="1"/>
  <c r="N26" i="8" s="1"/>
  <c r="N25" i="8" s="1"/>
  <c r="N15" i="8"/>
  <c r="N17" i="8" s="1"/>
  <c r="N20" i="8" s="1"/>
  <c r="N19" i="8" s="1"/>
  <c r="Q145" i="4"/>
  <c r="O45" i="8" s="1"/>
  <c r="O47" i="8" s="1"/>
  <c r="O50" i="8" s="1"/>
  <c r="O49" i="8" s="1"/>
  <c r="N63" i="8"/>
  <c r="N65" i="8" s="1"/>
  <c r="N68" i="8" s="1"/>
  <c r="N67" i="8" s="1"/>
  <c r="Q205" i="4"/>
  <c r="Q151" i="4" s="1"/>
  <c r="R179" i="4"/>
  <c r="R174" i="4"/>
  <c r="Q200" i="4"/>
  <c r="Q146" i="4" s="1"/>
  <c r="R171" i="4"/>
  <c r="Q197" i="4"/>
  <c r="Q143" i="4" s="1"/>
  <c r="O33" i="8" s="1"/>
  <c r="O35" i="8" s="1"/>
  <c r="O38" i="8" s="1"/>
  <c r="O37" i="8" s="1"/>
  <c r="R166" i="4"/>
  <c r="Q192" i="4"/>
  <c r="R168" i="4"/>
  <c r="Q194" i="4"/>
  <c r="Q140" i="4" s="1"/>
  <c r="R167" i="4"/>
  <c r="Q193" i="4"/>
  <c r="Q139" i="4" s="1"/>
  <c r="R176" i="4"/>
  <c r="Q202" i="4"/>
  <c r="Q148" i="4" s="1"/>
  <c r="M61" i="8"/>
  <c r="N59" i="8"/>
  <c r="N62" i="8" s="1"/>
  <c r="O57" i="8"/>
  <c r="O7" i="8" l="1"/>
  <c r="Q278" i="7"/>
  <c r="N137" i="8"/>
  <c r="N140" i="8" s="1"/>
  <c r="N139" i="8" s="1"/>
  <c r="N129" i="8"/>
  <c r="N131" i="8" s="1"/>
  <c r="N134" i="8" s="1"/>
  <c r="N133" i="8" s="1"/>
  <c r="Q285" i="7"/>
  <c r="R192" i="4"/>
  <c r="R138" i="4" s="1"/>
  <c r="P9" i="8" s="1"/>
  <c r="P11" i="8" s="1"/>
  <c r="P14" i="8" s="1"/>
  <c r="P13" i="8" s="1"/>
  <c r="S166" i="4"/>
  <c r="S192" i="4" s="1"/>
  <c r="S138" i="4" s="1"/>
  <c r="Q9" i="8" s="1"/>
  <c r="R202" i="4"/>
  <c r="R148" i="4" s="1"/>
  <c r="P63" i="8" s="1"/>
  <c r="P65" i="8" s="1"/>
  <c r="P68" i="8" s="1"/>
  <c r="P67" i="8" s="1"/>
  <c r="S176" i="4"/>
  <c r="S202" i="4" s="1"/>
  <c r="S148" i="4" s="1"/>
  <c r="Q63" i="8" s="1"/>
  <c r="Q65" i="8" s="1"/>
  <c r="Q68" i="8" s="1"/>
  <c r="Q67" i="8" s="1"/>
  <c r="R194" i="4"/>
  <c r="R140" i="4" s="1"/>
  <c r="S168" i="4"/>
  <c r="S194" i="4" s="1"/>
  <c r="S140" i="4" s="1"/>
  <c r="Q21" i="8" s="1"/>
  <c r="Q23" i="8" s="1"/>
  <c r="Q26" i="8" s="1"/>
  <c r="Q25" i="8" s="1"/>
  <c r="R197" i="4"/>
  <c r="R143" i="4" s="1"/>
  <c r="P33" i="8" s="1"/>
  <c r="P35" i="8" s="1"/>
  <c r="P38" i="8" s="1"/>
  <c r="P37" i="8" s="1"/>
  <c r="S171" i="4"/>
  <c r="S197" i="4" s="1"/>
  <c r="S143" i="4" s="1"/>
  <c r="Q33" i="8" s="1"/>
  <c r="Q35" i="8" s="1"/>
  <c r="Q38" i="8" s="1"/>
  <c r="Q37" i="8" s="1"/>
  <c r="R105" i="4"/>
  <c r="P264" i="7" s="1"/>
  <c r="P266" i="7" s="1"/>
  <c r="P269" i="7" s="1"/>
  <c r="P268" i="7" s="1"/>
  <c r="R93" i="4"/>
  <c r="P192" i="7" s="1"/>
  <c r="P194" i="7" s="1"/>
  <c r="P197" i="7" s="1"/>
  <c r="P196" i="7" s="1"/>
  <c r="S201" i="4"/>
  <c r="S147" i="4" s="1"/>
  <c r="Q57" i="8" s="1"/>
  <c r="Q59" i="8" s="1"/>
  <c r="Q62" i="8" s="1"/>
  <c r="Q61" i="8" s="1"/>
  <c r="Q7" i="8"/>
  <c r="P5" i="8"/>
  <c r="P8" i="8" s="1"/>
  <c r="M13" i="8"/>
  <c r="P140" i="7"/>
  <c r="P143" i="7" s="1"/>
  <c r="O142" i="7"/>
  <c r="P166" i="7"/>
  <c r="R205" i="4"/>
  <c r="S179" i="4"/>
  <c r="S205" i="4" s="1"/>
  <c r="S151" i="4" s="1"/>
  <c r="Q81" i="8" s="1"/>
  <c r="Q83" i="8" s="1"/>
  <c r="Q86" i="8" s="1"/>
  <c r="Q85" i="8" s="1"/>
  <c r="R200" i="4"/>
  <c r="R146" i="4" s="1"/>
  <c r="P51" i="8" s="1"/>
  <c r="P53" i="8" s="1"/>
  <c r="P56" i="8" s="1"/>
  <c r="P55" i="8" s="1"/>
  <c r="S174" i="4"/>
  <c r="S200" i="4" s="1"/>
  <c r="S146" i="4" s="1"/>
  <c r="Q51" i="8" s="1"/>
  <c r="Q53" i="8" s="1"/>
  <c r="Q56" i="8" s="1"/>
  <c r="Q55" i="8" s="1"/>
  <c r="R193" i="4"/>
  <c r="R139" i="4" s="1"/>
  <c r="P15" i="8" s="1"/>
  <c r="P17" i="8" s="1"/>
  <c r="P20" i="8" s="1"/>
  <c r="P19" i="8" s="1"/>
  <c r="S167" i="4"/>
  <c r="S193" i="4" s="1"/>
  <c r="S79" i="4"/>
  <c r="S26" i="4"/>
  <c r="R79" i="4"/>
  <c r="R187" i="4"/>
  <c r="Q213" i="4"/>
  <c r="Q159" i="4" s="1"/>
  <c r="P214" i="4"/>
  <c r="N11" i="8"/>
  <c r="N14" i="8" s="1"/>
  <c r="P21" i="8"/>
  <c r="P23" i="8" s="1"/>
  <c r="P26" i="8" s="1"/>
  <c r="P25" i="8" s="1"/>
  <c r="O81" i="8"/>
  <c r="O83" i="8" s="1"/>
  <c r="O86" i="8" s="1"/>
  <c r="O85" i="8" s="1"/>
  <c r="O63" i="8"/>
  <c r="O65" i="8" s="1"/>
  <c r="O68" i="8" s="1"/>
  <c r="O67" i="8" s="1"/>
  <c r="O15" i="8"/>
  <c r="O17" i="8" s="1"/>
  <c r="O20" i="8" s="1"/>
  <c r="O19" i="8" s="1"/>
  <c r="O21" i="8"/>
  <c r="O23" i="8" s="1"/>
  <c r="O26" i="8" s="1"/>
  <c r="O25" i="8" s="1"/>
  <c r="Q138" i="4"/>
  <c r="O9" i="8" s="1"/>
  <c r="O51" i="8"/>
  <c r="O53" i="8" s="1"/>
  <c r="O56" i="8" s="1"/>
  <c r="O55" i="8" s="1"/>
  <c r="O59" i="8"/>
  <c r="O62" i="8" s="1"/>
  <c r="N61" i="8"/>
  <c r="P59" i="8"/>
  <c r="P62" i="8" s="1"/>
  <c r="Q284" i="7" l="1"/>
  <c r="Q286" i="7" s="1"/>
  <c r="Q287" i="7" s="1"/>
  <c r="Q279" i="7"/>
  <c r="P7" i="8"/>
  <c r="Q11" i="8"/>
  <c r="Q14" i="8" s="1"/>
  <c r="P142" i="7"/>
  <c r="O137" i="8"/>
  <c r="O140" i="8" s="1"/>
  <c r="O139" i="8" s="1"/>
  <c r="O129" i="8"/>
  <c r="O131" i="8" s="1"/>
  <c r="O134" i="8" s="1"/>
  <c r="O133" i="8" s="1"/>
  <c r="O11" i="8"/>
  <c r="O14" i="8" s="1"/>
  <c r="N13" i="8"/>
  <c r="R213" i="4"/>
  <c r="R159" i="4" s="1"/>
  <c r="S187" i="4"/>
  <c r="S213" i="4" s="1"/>
  <c r="S159" i="4" s="1"/>
  <c r="R151" i="4"/>
  <c r="P81" i="8" s="1"/>
  <c r="P83" i="8" s="1"/>
  <c r="P86" i="8" s="1"/>
  <c r="P85" i="8" s="1"/>
  <c r="S139" i="4"/>
  <c r="Q15" i="8" s="1"/>
  <c r="Q214" i="4"/>
  <c r="P61" i="8"/>
  <c r="O61" i="8"/>
  <c r="H217" i="4"/>
  <c r="H219" i="4" s="1"/>
  <c r="F210" i="7"/>
  <c r="F278" i="7" s="1"/>
  <c r="F279" i="7" s="1"/>
  <c r="F75" i="8"/>
  <c r="F142" i="8" s="1"/>
  <c r="F143" i="8" s="1"/>
  <c r="O13" i="8" l="1"/>
  <c r="Q13" i="8"/>
  <c r="Q137" i="8"/>
  <c r="Q140" i="8" s="1"/>
  <c r="Q139" i="8" s="1"/>
  <c r="Q129" i="8"/>
  <c r="P137" i="8"/>
  <c r="P140" i="8" s="1"/>
  <c r="P139" i="8" s="1"/>
  <c r="P129" i="8"/>
  <c r="P131" i="8" s="1"/>
  <c r="P134" i="8" s="1"/>
  <c r="P133" i="8" s="1"/>
  <c r="S214" i="4"/>
  <c r="Q17" i="8"/>
  <c r="Q20" i="8" s="1"/>
  <c r="F212" i="7"/>
  <c r="F215" i="7" s="1"/>
  <c r="R214" i="4"/>
  <c r="F77" i="8"/>
  <c r="F80" i="8" s="1"/>
  <c r="F149" i="8" s="1"/>
  <c r="Q131" i="8" l="1"/>
  <c r="Q134" i="8" s="1"/>
  <c r="Q142" i="8"/>
  <c r="F214" i="7"/>
  <c r="Q19" i="8"/>
  <c r="F148" i="8"/>
  <c r="H223" i="4"/>
  <c r="H225" i="4" s="1"/>
  <c r="F79" i="8"/>
  <c r="I217" i="4"/>
  <c r="I219" i="4" s="1"/>
  <c r="G210" i="7"/>
  <c r="G278" i="7" s="1"/>
  <c r="G279" i="7" s="1"/>
  <c r="G75" i="8"/>
  <c r="G142" i="8" s="1"/>
  <c r="G143" i="8" s="1"/>
  <c r="Q148" i="8" l="1"/>
  <c r="Q143" i="8"/>
  <c r="Q133" i="8"/>
  <c r="Q149" i="8"/>
  <c r="G212" i="7"/>
  <c r="G215" i="7" s="1"/>
  <c r="G285" i="7" s="1"/>
  <c r="G284" i="7"/>
  <c r="F150" i="8"/>
  <c r="F151" i="8" s="1"/>
  <c r="G77" i="8"/>
  <c r="G80" i="8" s="1"/>
  <c r="G149" i="8" s="1"/>
  <c r="Q150" i="8" l="1"/>
  <c r="Q151" i="8" s="1"/>
  <c r="G214" i="7"/>
  <c r="G79" i="8"/>
  <c r="G286" i="7"/>
  <c r="G287" i="7" s="1"/>
  <c r="I223" i="4"/>
  <c r="I225" i="4" s="1"/>
  <c r="G148" i="8"/>
  <c r="J217" i="4"/>
  <c r="J219" i="4" s="1"/>
  <c r="H75" i="8"/>
  <c r="H142" i="8" s="1"/>
  <c r="H143" i="8" s="1"/>
  <c r="H210" i="7"/>
  <c r="H278" i="7" s="1"/>
  <c r="H279" i="7" s="1"/>
  <c r="H284" i="7" l="1"/>
  <c r="H212" i="7"/>
  <c r="H215" i="7" s="1"/>
  <c r="H285" i="7" s="1"/>
  <c r="G150" i="8"/>
  <c r="G151" i="8" s="1"/>
  <c r="H77" i="8"/>
  <c r="H80" i="8" s="1"/>
  <c r="H214" i="7" l="1"/>
  <c r="H286" i="7"/>
  <c r="H287" i="7" s="1"/>
  <c r="H79" i="8"/>
  <c r="H148" i="8"/>
  <c r="J223" i="4"/>
  <c r="J225" i="4" s="1"/>
  <c r="K217" i="4"/>
  <c r="K219" i="4" s="1"/>
  <c r="I210" i="7"/>
  <c r="I278" i="7" s="1"/>
  <c r="I279" i="7" s="1"/>
  <c r="I75" i="8"/>
  <c r="I142" i="8" s="1"/>
  <c r="I143" i="8" s="1"/>
  <c r="I284" i="7" l="1"/>
  <c r="H151" i="8"/>
  <c r="I77" i="8"/>
  <c r="I80" i="8" s="1"/>
  <c r="I149" i="8" s="1"/>
  <c r="K223" i="4"/>
  <c r="K225" i="4" s="1"/>
  <c r="I212" i="7"/>
  <c r="I215" i="7" s="1"/>
  <c r="I285" i="7" s="1"/>
  <c r="I79" i="8" l="1"/>
  <c r="I148" i="8"/>
  <c r="I286" i="7"/>
  <c r="I287" i="7" s="1"/>
  <c r="I214" i="7"/>
  <c r="L217" i="4"/>
  <c r="L219" i="4" s="1"/>
  <c r="J75" i="8"/>
  <c r="J142" i="8" s="1"/>
  <c r="J143" i="8" s="1"/>
  <c r="J210" i="7"/>
  <c r="J278" i="7" s="1"/>
  <c r="J279" i="7" s="1"/>
  <c r="J284" i="7" l="1"/>
  <c r="I150" i="8"/>
  <c r="I151" i="8" s="1"/>
  <c r="J77" i="8"/>
  <c r="J80" i="8" s="1"/>
  <c r="J149" i="8" s="1"/>
  <c r="J212" i="7"/>
  <c r="J215" i="7" s="1"/>
  <c r="J285" i="7" s="1"/>
  <c r="J286" i="7" l="1"/>
  <c r="J287" i="7" s="1"/>
  <c r="J214" i="7"/>
  <c r="L223" i="4"/>
  <c r="L225" i="4" s="1"/>
  <c r="J148" i="8"/>
  <c r="J79" i="8"/>
  <c r="M217" i="4"/>
  <c r="M219" i="4" s="1"/>
  <c r="K210" i="7"/>
  <c r="K278" i="7" s="1"/>
  <c r="K279" i="7" s="1"/>
  <c r="K75" i="8"/>
  <c r="K142" i="8" s="1"/>
  <c r="K143" i="8" s="1"/>
  <c r="K212" i="7" l="1"/>
  <c r="K215" i="7" s="1"/>
  <c r="K285" i="7" s="1"/>
  <c r="K284" i="7"/>
  <c r="J150" i="8"/>
  <c r="J151" i="8" s="1"/>
  <c r="K77" i="8"/>
  <c r="K80" i="8" s="1"/>
  <c r="K149" i="8" s="1"/>
  <c r="K214" i="7"/>
  <c r="K286" i="7" l="1"/>
  <c r="K287" i="7" s="1"/>
  <c r="K79" i="8"/>
  <c r="K148" i="8"/>
  <c r="M223" i="4"/>
  <c r="M225" i="4" s="1"/>
  <c r="N217" i="4"/>
  <c r="N219" i="4" s="1"/>
  <c r="L75" i="8"/>
  <c r="L142" i="8" s="1"/>
  <c r="L143" i="8" s="1"/>
  <c r="L210" i="7"/>
  <c r="L278" i="7" s="1"/>
  <c r="L279" i="7" s="1"/>
  <c r="L212" i="7" l="1"/>
  <c r="L215" i="7" s="1"/>
  <c r="L285" i="7" s="1"/>
  <c r="L284" i="7"/>
  <c r="K150" i="8"/>
  <c r="K151" i="8" s="1"/>
  <c r="L77" i="8"/>
  <c r="L80" i="8" s="1"/>
  <c r="L149" i="8" s="1"/>
  <c r="L214" i="7" l="1"/>
  <c r="L286" i="7"/>
  <c r="L287" i="7" s="1"/>
  <c r="N223" i="4"/>
  <c r="N225" i="4" s="1"/>
  <c r="L148" i="8"/>
  <c r="L79" i="8"/>
  <c r="O217" i="4"/>
  <c r="O219" i="4" s="1"/>
  <c r="M75" i="8"/>
  <c r="M142" i="8" s="1"/>
  <c r="M143" i="8" s="1"/>
  <c r="M210" i="7"/>
  <c r="M278" i="7" s="1"/>
  <c r="M279" i="7" s="1"/>
  <c r="M284" i="7" l="1"/>
  <c r="L150" i="8"/>
  <c r="L151" i="8" s="1"/>
  <c r="M212" i="7"/>
  <c r="M215" i="7" s="1"/>
  <c r="M285" i="7" s="1"/>
  <c r="M77" i="8"/>
  <c r="M80" i="8" s="1"/>
  <c r="M149" i="8" s="1"/>
  <c r="M214" i="7" l="1"/>
  <c r="M286" i="7"/>
  <c r="M287" i="7" s="1"/>
  <c r="O223" i="4"/>
  <c r="O225" i="4" s="1"/>
  <c r="M148" i="8"/>
  <c r="M79" i="8"/>
  <c r="N210" i="7"/>
  <c r="N278" i="7" s="1"/>
  <c r="N279" i="7" s="1"/>
  <c r="N75" i="8"/>
  <c r="N142" i="8" s="1"/>
  <c r="N143" i="8" s="1"/>
  <c r="P217" i="4"/>
  <c r="P219" i="4" s="1"/>
  <c r="N284" i="7" l="1"/>
  <c r="M150" i="8"/>
  <c r="M151" i="8" s="1"/>
  <c r="N77" i="8"/>
  <c r="N80" i="8" s="1"/>
  <c r="N149" i="8" s="1"/>
  <c r="N212" i="7"/>
  <c r="N215" i="7" s="1"/>
  <c r="N285" i="7" s="1"/>
  <c r="N286" i="7" l="1"/>
  <c r="N287" i="7" s="1"/>
  <c r="N214" i="7"/>
  <c r="N148" i="8"/>
  <c r="P223" i="4"/>
  <c r="P225" i="4" s="1"/>
  <c r="N79" i="8"/>
  <c r="N150" i="8" l="1"/>
  <c r="N151" i="8" s="1"/>
  <c r="Q217" i="4"/>
  <c r="Q219" i="4" s="1"/>
  <c r="O75" i="8"/>
  <c r="O142" i="8" s="1"/>
  <c r="O143" i="8" s="1"/>
  <c r="O210" i="7"/>
  <c r="O278" i="7" s="1"/>
  <c r="O279" i="7" s="1"/>
  <c r="O284" i="7" l="1"/>
  <c r="O212" i="7"/>
  <c r="O215" i="7" s="1"/>
  <c r="O285" i="7" s="1"/>
  <c r="O77" i="8"/>
  <c r="O80" i="8" s="1"/>
  <c r="O149" i="8" s="1"/>
  <c r="O214" i="7" l="1"/>
  <c r="O286" i="7"/>
  <c r="O287" i="7" s="1"/>
  <c r="Q223" i="4"/>
  <c r="Q225" i="4" s="1"/>
  <c r="O148" i="8"/>
  <c r="O79" i="8"/>
  <c r="R217" i="4"/>
  <c r="R219" i="4" s="1"/>
  <c r="P75" i="8"/>
  <c r="P142" i="8" s="1"/>
  <c r="P143" i="8" s="1"/>
  <c r="P210" i="7"/>
  <c r="P278" i="7" s="1"/>
  <c r="P279" i="7" s="1"/>
  <c r="P284" i="7" l="1"/>
  <c r="O150" i="8"/>
  <c r="O151" i="8" s="1"/>
  <c r="P77" i="8"/>
  <c r="P80" i="8" s="1"/>
  <c r="P149" i="8" s="1"/>
  <c r="P212" i="7"/>
  <c r="P215" i="7" s="1"/>
  <c r="P285" i="7" s="1"/>
  <c r="P214" i="7" l="1"/>
  <c r="P286" i="7"/>
  <c r="P287" i="7" s="1"/>
  <c r="P79" i="8"/>
  <c r="P148" i="8"/>
  <c r="R223" i="4"/>
  <c r="R225" i="4" s="1"/>
  <c r="P150" i="8" l="1"/>
  <c r="P151" i="8" s="1"/>
  <c r="E149" i="7"/>
  <c r="E285" i="7" s="1"/>
  <c r="E148" i="7" l="1"/>
  <c r="E286" i="7"/>
  <c r="E287" i="7" s="1"/>
  <c r="F281" i="7"/>
  <c r="F282" i="7" s="1"/>
  <c r="F218" i="7"/>
  <c r="F221" i="7"/>
  <c r="F220" i="7" s="1"/>
  <c r="F285" i="7"/>
  <c r="F284" i="7" l="1"/>
  <c r="F286" i="7" s="1"/>
  <c r="F287" i="7" s="1"/>
</calcChain>
</file>

<file path=xl/comments1.xml><?xml version="1.0" encoding="utf-8"?>
<comments xmlns="http://schemas.openxmlformats.org/spreadsheetml/2006/main">
  <authors>
    <author>Autor</author>
  </authors>
  <commentList>
    <comment ref="V105" authorId="0" shapeId="0">
      <text>
        <r>
          <rPr>
            <sz val="9"/>
            <color indexed="81"/>
            <rFont val="Tahoma"/>
            <family val="2"/>
            <charset val="186"/>
          </rPr>
          <t xml:space="preserve">Ramsi VK elanike vee müügimaht 2017
</t>
        </r>
      </text>
    </comment>
    <comment ref="V159" authorId="0" shapeId="0">
      <text>
        <r>
          <rPr>
            <sz val="9"/>
            <color indexed="81"/>
            <rFont val="Tahoma"/>
            <family val="2"/>
            <charset val="186"/>
          </rPr>
          <t xml:space="preserve">Ramsi VK elanike reovee müügimaht 2017
</t>
        </r>
      </text>
    </comment>
  </commentList>
</comments>
</file>

<file path=xl/sharedStrings.xml><?xml version="1.0" encoding="utf-8"?>
<sst xmlns="http://schemas.openxmlformats.org/spreadsheetml/2006/main" count="882" uniqueCount="333">
  <si>
    <t>Mehed ja naised</t>
  </si>
  <si>
    <t>Paistu vald</t>
  </si>
  <si>
    <t>..Paistu valla külad</t>
  </si>
  <si>
    <t>....1138 Aidu küla</t>
  </si>
  <si>
    <t>....1821 Hendrikumõisa küla</t>
  </si>
  <si>
    <t>....1888 Holstre küla</t>
  </si>
  <si>
    <t>....2093 Intsu küla</t>
  </si>
  <si>
    <t>....2813 Kassi küla</t>
  </si>
  <si>
    <t>....4484 Lolu küla</t>
  </si>
  <si>
    <t>....4501 Loodi küla</t>
  </si>
  <si>
    <t>....4548 Luiga küla</t>
  </si>
  <si>
    <t>....5070 Mustapali küla</t>
  </si>
  <si>
    <t>....5872 Paistu küla</t>
  </si>
  <si>
    <t>....6276 Pirmastu küla</t>
  </si>
  <si>
    <t>....6423 Pulleritsu küla</t>
  </si>
  <si>
    <t>....6885 Rebase küla</t>
  </si>
  <si>
    <t>....7790 Sultsi küla</t>
  </si>
  <si>
    <t>....8496 Tömbi küla</t>
  </si>
  <si>
    <t>....9305 Viisuküla küla</t>
  </si>
  <si>
    <t>Pärsti vald</t>
  </si>
  <si>
    <t>..Pärsti valla alevikud</t>
  </si>
  <si>
    <t>....6789 Ramsi alevik</t>
  </si>
  <si>
    <t>..Pärsti valla külad</t>
  </si>
  <si>
    <t>....1240 Alustre küla</t>
  </si>
  <si>
    <t>....1794 Heimtali küla</t>
  </si>
  <si>
    <t>....2312 Jämejala küla</t>
  </si>
  <si>
    <t>....3042 Kiini küla</t>
  </si>
  <si>
    <t>....3047 Kiisa küla</t>
  </si>
  <si>
    <t>....3100 Kingu küla</t>
  </si>
  <si>
    <t>....3396 Kookla küla</t>
  </si>
  <si>
    <t>....4021 Laanekuru küla</t>
  </si>
  <si>
    <t>....4185 Leemeti küla</t>
  </si>
  <si>
    <t>....4794 Marna küla</t>
  </si>
  <si>
    <t>....4814 Matapera küla</t>
  </si>
  <si>
    <t>....5075 Mustivere küla</t>
  </si>
  <si>
    <t>....6271 Pinska küla</t>
  </si>
  <si>
    <t>....6406 Puiatu küla</t>
  </si>
  <si>
    <t>....6601 Päri küla</t>
  </si>
  <si>
    <t>....6626 Pärsti küla</t>
  </si>
  <si>
    <t>....6852 Raudna küla</t>
  </si>
  <si>
    <t>....6971 Rihkama küla</t>
  </si>
  <si>
    <t>....7494 Savikoti küla</t>
  </si>
  <si>
    <t>....7611 Sinialliku küla</t>
  </si>
  <si>
    <t>....8272 Tohvri küla</t>
  </si>
  <si>
    <t>....8431 Turva küla</t>
  </si>
  <si>
    <t>....8522 Tõrreküla küla</t>
  </si>
  <si>
    <t>....9026 Vanamõisa küla</t>
  </si>
  <si>
    <t>....9068 Vardi küla</t>
  </si>
  <si>
    <t>....9626 Väike-Kõpu küla</t>
  </si>
  <si>
    <t>Saarepeedi vald</t>
  </si>
  <si>
    <t>..Saarepeedi valla külad</t>
  </si>
  <si>
    <t>....1147 Aindu küla</t>
  </si>
  <si>
    <t>....1461 Auksi küla</t>
  </si>
  <si>
    <t>....2776 Karula küla</t>
  </si>
  <si>
    <t>....3313 Kokaviidika küla</t>
  </si>
  <si>
    <t>....4981 Moori küla</t>
  </si>
  <si>
    <t>....6090 Peetrimõisa küla</t>
  </si>
  <si>
    <t>....7295 Saarepeedi küla</t>
  </si>
  <si>
    <t>....8003 Taari küla</t>
  </si>
  <si>
    <t>....8264 Tobraselja küla</t>
  </si>
  <si>
    <t>....8504 Tõnissaare küla</t>
  </si>
  <si>
    <t>....9541 Võistre küla</t>
  </si>
  <si>
    <t>....9646 Välgita küla</t>
  </si>
  <si>
    <t>Viiratsi vald</t>
  </si>
  <si>
    <t>..Viiratsi valla alevikud</t>
  </si>
  <si>
    <t>....9292 Viiratsi alevik</t>
  </si>
  <si>
    <t>..Viiratsi valla külad</t>
  </si>
  <si>
    <t>....2229 Jõeküla küla</t>
  </si>
  <si>
    <t>....2996 Kibeküla küla</t>
  </si>
  <si>
    <t>....3711 Kuudeküla küla</t>
  </si>
  <si>
    <t>....4462 Loime küla</t>
  </si>
  <si>
    <t>....5201 Mäeltküla küla</t>
  </si>
  <si>
    <t>....5237 Mähma küla</t>
  </si>
  <si>
    <t>....6891 Rebaste küla</t>
  </si>
  <si>
    <t>....6956 Ridaküla küla</t>
  </si>
  <si>
    <t>....7143 Ruudiküla küla</t>
  </si>
  <si>
    <t>....7290 Saareküla küla</t>
  </si>
  <si>
    <t>....7812 Surva küla</t>
  </si>
  <si>
    <t>....8439 Tusti küla</t>
  </si>
  <si>
    <t>....8507 Tõnuküla küla</t>
  </si>
  <si>
    <t>....8569 Tänassilma küla</t>
  </si>
  <si>
    <t>....8790 Uusna küla</t>
  </si>
  <si>
    <t>....8964 Valma küla</t>
  </si>
  <si>
    <t>....9012 Vana-Võidu küla</t>
  </si>
  <si>
    <t>....9039 Vanavälja küla</t>
  </si>
  <si>
    <t>....9073 Vardja küla</t>
  </si>
  <si>
    <t>....9103 Vasara küla</t>
  </si>
  <si>
    <t>....9221 Verilaske küla</t>
  </si>
  <si>
    <t>Elanikud</t>
  </si>
  <si>
    <t>Rahvaloendus 2011 31.12</t>
  </si>
  <si>
    <t>Liitunud veevärk</t>
  </si>
  <si>
    <t>arv</t>
  </si>
  <si>
    <t>Liitunud ühiskanal</t>
  </si>
  <si>
    <t>%</t>
  </si>
  <si>
    <t>Uued liitujad veevärk</t>
  </si>
  <si>
    <t>Uued liitujad ühiskanal</t>
  </si>
  <si>
    <t>?</t>
  </si>
  <si>
    <t>Ramsi VK</t>
  </si>
  <si>
    <t xml:space="preserve">Viljandi Veevärk </t>
  </si>
  <si>
    <t>Viljandi maakond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</si>
  <si>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</si>
  <si>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</si>
  <si>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</si>
  <si>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</si>
  <si>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</si>
  <si>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</si>
  <si>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</si>
  <si>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</si>
  <si>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</si>
  <si>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</si>
  <si>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</si>
  <si>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</si>
  <si>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</si>
  <si>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</si>
  <si>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</si>
  <si>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25 (2013-2015)</t>
  </si>
  <si>
    <t>Viljandi Veevärk</t>
  </si>
  <si>
    <t>aasta</t>
  </si>
  <si>
    <t>elanikud</t>
  </si>
  <si>
    <t xml:space="preserve"> muut eelmise aastaga (%)</t>
  </si>
  <si>
    <t>Viljandi vald</t>
  </si>
  <si>
    <t>koef</t>
  </si>
  <si>
    <t>KOKKU</t>
  </si>
  <si>
    <t>Holstre</t>
  </si>
  <si>
    <t xml:space="preserve">Intsu </t>
  </si>
  <si>
    <t>Paistu</t>
  </si>
  <si>
    <t xml:space="preserve">Ramsi </t>
  </si>
  <si>
    <t>Heimtali</t>
  </si>
  <si>
    <t>Matapera</t>
  </si>
  <si>
    <t>Mustivere</t>
  </si>
  <si>
    <t>Puiatu</t>
  </si>
  <si>
    <t xml:space="preserve">Päri </t>
  </si>
  <si>
    <t>Pärsti</t>
  </si>
  <si>
    <t>Savikoti</t>
  </si>
  <si>
    <t>Tohvri</t>
  </si>
  <si>
    <t>Elanike arv Viljandi valla asulates, ÜVK operaator Ramsi VK OÜ</t>
  </si>
  <si>
    <t xml:space="preserve">Karula </t>
  </si>
  <si>
    <t>Saarepeedi</t>
  </si>
  <si>
    <t>Mäeltküla</t>
  </si>
  <si>
    <t>Ruudiküla</t>
  </si>
  <si>
    <t>Tusti</t>
  </si>
  <si>
    <t>Vasara</t>
  </si>
  <si>
    <t>Veetarbijad Viljandi valla asulates, operaator Ramsi VK</t>
  </si>
  <si>
    <t>m3</t>
  </si>
  <si>
    <t>Müügiväline vesi</t>
  </si>
  <si>
    <t>Müügivälise vee osakaal (%)</t>
  </si>
  <si>
    <t>VILJANDI VALLA TEENINDUSPIIRKOND</t>
  </si>
  <si>
    <t>Põhjaveevõtt</t>
  </si>
  <si>
    <t>Mustivere (Karu, Oksa)</t>
  </si>
  <si>
    <t>Pärsti (Pärsti, Kurika)</t>
  </si>
  <si>
    <t>Mäeltküla (Järve)</t>
  </si>
  <si>
    <t>Ruudiküla (Sillaotsa)</t>
  </si>
  <si>
    <t>Majapidamiste vee ühiktarbimine Viljandi valla asulates, operaator Ramsi VK</t>
  </si>
  <si>
    <t xml:space="preserve">Ühikarve </t>
  </si>
  <si>
    <t>Majapidamiste reoveetarbimine Viljandi valla asulates, operaator Ramsi VK</t>
  </si>
  <si>
    <t>Karula</t>
  </si>
  <si>
    <t>Veetarbijate (püsielanikud) osakaal Viljandi valla asulates, ÜVK operaator Ramsi VK OÜ</t>
  </si>
  <si>
    <t>Majapidamiste reoveetarbijate (püsielanikud) osakaal Viljandi valla asulates, operaator Ramsi VK</t>
  </si>
  <si>
    <t>Majapidamiste reoveetarbijate arv Viljandi valla asulates, operaator Ramsi VK</t>
  </si>
  <si>
    <t>Ramsi</t>
  </si>
  <si>
    <t>Tarbimine</t>
  </si>
  <si>
    <t>Päri</t>
  </si>
  <si>
    <t>Intsu</t>
  </si>
  <si>
    <t>Kogunõudlus (vesi), operaator Ramsi VK</t>
  </si>
  <si>
    <t xml:space="preserve">Elanikud </t>
  </si>
  <si>
    <t>Ettevõtted</t>
  </si>
  <si>
    <t>Kogunõudlus (reovesi), operaator Ramsi VK</t>
  </si>
  <si>
    <t>Tarbimine Holstre majapidamised</t>
  </si>
  <si>
    <t>Tarbimine Holstre ettevõtted</t>
  </si>
  <si>
    <t>Tarbimine Intsu majapidamised</t>
  </si>
  <si>
    <t>Tarbimine Intsu ettevõtted</t>
  </si>
  <si>
    <t>Tarbimine Paistu majapidamised</t>
  </si>
  <si>
    <t>Tarbimine Paistu ettevõtted</t>
  </si>
  <si>
    <t>Tarbimine Ramsi majapidamised</t>
  </si>
  <si>
    <t>Tarbimine Ramsi kokku</t>
  </si>
  <si>
    <t>Tarbimine Ramsi ettevõtted</t>
  </si>
  <si>
    <t>Tarbimine Heimtali majapidamised</t>
  </si>
  <si>
    <t>Tarbimine Heimtali ettevõtted</t>
  </si>
  <si>
    <t>Tarbimine Matapera majapidamised</t>
  </si>
  <si>
    <t>Tarbimine Matapera ettevõtted</t>
  </si>
  <si>
    <t>Tarbimine Puiatu majapidamised</t>
  </si>
  <si>
    <t>Tarbimine Puiatu ettevõtted</t>
  </si>
  <si>
    <t>Tarbimine Päri majapidamised</t>
  </si>
  <si>
    <t>Tarbimine Päri ettevõtted</t>
  </si>
  <si>
    <t>Tarbimine Pärsti majapidamised</t>
  </si>
  <si>
    <t>Tarbimine Pärsti ettevõtted</t>
  </si>
  <si>
    <t>Tarbimine Savikoti majapidamised</t>
  </si>
  <si>
    <t>Tarbimine Savikoti ettevõtted</t>
  </si>
  <si>
    <t>Tarbimine Tohvri majapidamised</t>
  </si>
  <si>
    <t>Tarbimine Tohvri ettevõtted</t>
  </si>
  <si>
    <t>Tarbimine Karula  ettevõtted</t>
  </si>
  <si>
    <t>Tarbimine Mustivere ettevõtted</t>
  </si>
  <si>
    <t>Tarbimine Saarepeedi majapidamised</t>
  </si>
  <si>
    <t>Tarbimine Saarepeedi ettevõtted</t>
  </si>
  <si>
    <t>Tarbimine Mäeltküla (Järve) majapidamised</t>
  </si>
  <si>
    <t>Tarbimine Mäeltküla ettevõtted</t>
  </si>
  <si>
    <t>Tarbimine Ruudiküla (Sillaotsa) majapidamised</t>
  </si>
  <si>
    <t>Tarbimine Ruudiküla ettevõtted</t>
  </si>
  <si>
    <t>Tarbimine Vasara ettevõtted</t>
  </si>
  <si>
    <t>Tarbimine Vasara majapidamised</t>
  </si>
  <si>
    <t>Tarbimine Tusti ettevõtted</t>
  </si>
  <si>
    <t>Tarbimine Tusti majapidamised</t>
  </si>
  <si>
    <t>2012-2014 ilma endiste Saarepeedi ja Viiratsi valla asulateta, Karula 2015 II-IV kvartal</t>
  </si>
  <si>
    <t>2012-2014 ilma Karula ja Viiratsi valla asulateta, Karula 2015 II-IV kvartal, Saarepeedi alates 2014 III kvartal</t>
  </si>
  <si>
    <t>Saaarepeedi alates 2014 III kvartal</t>
  </si>
  <si>
    <r>
      <t>Müügiväline vesi (m</t>
    </r>
    <r>
      <rPr>
        <sz val="11"/>
        <color theme="1"/>
        <rFont val="Calibri"/>
        <family val="2"/>
        <charset val="186"/>
      </rPr>
      <t>³</t>
    </r>
    <r>
      <rPr>
        <sz val="11"/>
        <color theme="1"/>
        <rFont val="Calibri"/>
        <family val="2"/>
      </rPr>
      <t>)</t>
    </r>
  </si>
  <si>
    <t>Müügivälise vee %</t>
  </si>
  <si>
    <t>Tarbimine kokku (m³)</t>
  </si>
  <si>
    <t>Tarbimine Intsu kokku (m³)</t>
  </si>
  <si>
    <t>Tarbimine Paistu kokku (m³)</t>
  </si>
  <si>
    <t>Tarbimine Heimtali kokku (m³)</t>
  </si>
  <si>
    <t>Tarbimine Matapera kokku (m³)</t>
  </si>
  <si>
    <t>Tarbimine Mustivere kokku (m³)</t>
  </si>
  <si>
    <t>Tarbimine Puiatu kokku (m³)</t>
  </si>
  <si>
    <t>Tarbimine Päri kokku (m³)</t>
  </si>
  <si>
    <t>Tarbimine Pärsti kokku (m³)</t>
  </si>
  <si>
    <t>Tarbimine Savikoti kokku (m³)</t>
  </si>
  <si>
    <t>Tarbimine Tohvri kokku (m³)</t>
  </si>
  <si>
    <t>Tarbimine Karula kokku (m³)</t>
  </si>
  <si>
    <t>Tarbimine Saarepeedi kokku (m³)</t>
  </si>
  <si>
    <t>Tarbimine Mäeltküla kokku (m³)</t>
  </si>
  <si>
    <t>Tarbimine Ruudiküla kokku (m³)</t>
  </si>
  <si>
    <t>Tarbimine Tusti kokku (m³)</t>
  </si>
  <si>
    <t>Tarbimine Vasara kokku (m³)</t>
  </si>
  <si>
    <t>Veemüük kokku majapidamised (m³)</t>
  </si>
  <si>
    <t>Veemüük kokku ettevõtted (m³)</t>
  </si>
  <si>
    <t>Müügipõhine tarbimine kokku (m³)</t>
  </si>
  <si>
    <t>Veetoodang kokku (m³)</t>
  </si>
  <si>
    <t>Müügiväline vesi kokku (m³)</t>
  </si>
  <si>
    <t>VEETARBIMISE JA -TOODANGU ASULAPÕHINE PROGNOOS, RAMSI VK</t>
  </si>
  <si>
    <t>VEETARVE JA VEEKAOD, RAMSI VK</t>
  </si>
  <si>
    <t>Müügivälise reovee %</t>
  </si>
  <si>
    <r>
      <t>Müügiväline reovesi (m</t>
    </r>
    <r>
      <rPr>
        <sz val="11"/>
        <color theme="1"/>
        <rFont val="Calibri"/>
        <family val="2"/>
        <charset val="186"/>
      </rPr>
      <t>³</t>
    </r>
    <r>
      <rPr>
        <sz val="11"/>
        <color theme="1"/>
        <rFont val="Calibri"/>
        <family val="2"/>
      </rPr>
      <t>)</t>
    </r>
  </si>
  <si>
    <t>Reoveetarve kokku majapidamised (m³)</t>
  </si>
  <si>
    <t>Reoveetarve kokku ettevõtted (m³)</t>
  </si>
  <si>
    <t>Puhastitesse kokku (m³)</t>
  </si>
  <si>
    <t>Müügiväline reovesi kokku (m³)</t>
  </si>
  <si>
    <t>Keskmine müügivälise reovee osakaal (%)</t>
  </si>
  <si>
    <t>Piirkonnakeskmine müügivälise vee osakaal (%)</t>
  </si>
  <si>
    <t>Karula (sh.hooldekodu elanikud)</t>
  </si>
  <si>
    <t>Puiatu (Erikooli)</t>
  </si>
  <si>
    <t>Matapera (Matapera, Kutsari)</t>
  </si>
  <si>
    <t>Matapera (Matapea, Kutsari)</t>
  </si>
  <si>
    <t xml:space="preserve">Mustivere </t>
  </si>
  <si>
    <t>Tarbimine Mustivere majapidamised</t>
  </si>
  <si>
    <t>KONTROLL</t>
  </si>
  <si>
    <t>Tarbimine Karula majapidamised</t>
  </si>
  <si>
    <t>progn</t>
  </si>
  <si>
    <t>tegelik</t>
  </si>
  <si>
    <t>Soe</t>
  </si>
  <si>
    <t>Suislepa</t>
  </si>
  <si>
    <t>Kärstna</t>
  </si>
  <si>
    <t>Mustla</t>
  </si>
  <si>
    <t>Matapere</t>
  </si>
  <si>
    <t>Tarbimine Kärstna majapidamised</t>
  </si>
  <si>
    <t>Tarbimine Kärstna ettevõtted</t>
  </si>
  <si>
    <t>Tarbimine Kärstna kokku (m³)</t>
  </si>
  <si>
    <t>Tarbimine Mustla majapidamised</t>
  </si>
  <si>
    <t>Tarbimine Mustla ettevõtted</t>
  </si>
  <si>
    <t>Tarbimine Mustla kokku (m³)</t>
  </si>
  <si>
    <t>Tarbimine Soe majapidamised</t>
  </si>
  <si>
    <t>Tarbimine Soe ettevõtted</t>
  </si>
  <si>
    <t>Tarbimine Soe kokku (m³)</t>
  </si>
  <si>
    <t>Tarbimine Suislepa majapidamised</t>
  </si>
  <si>
    <t>Tarbimine Suislepa kokku (m³)</t>
  </si>
  <si>
    <t>Tarbimine Suislepa ettevõtted</t>
  </si>
  <si>
    <t>Soe (sh Rüüsa)</t>
  </si>
  <si>
    <t>1 Veetootmine, Holstre</t>
  </si>
  <si>
    <t>2 Veetootmine, Intsu</t>
  </si>
  <si>
    <t>3 Veetootmine Paistu</t>
  </si>
  <si>
    <t xml:space="preserve">4 Veetootmine Ramsi </t>
  </si>
  <si>
    <t>5 Veetootmine Heimtali</t>
  </si>
  <si>
    <t>rekonstrueerimisprojekt: vähenemine 12% tasemele alates 2018</t>
  </si>
  <si>
    <t xml:space="preserve"> 6 Veetootmine Matapera</t>
  </si>
  <si>
    <t>7 Veetootmine Mustivere</t>
  </si>
  <si>
    <t>8 Veetootmine Puiatu</t>
  </si>
  <si>
    <t>9 Veetootmine Päri</t>
  </si>
  <si>
    <t>10 Veetootmine Pärsti</t>
  </si>
  <si>
    <t>11 Veetootmine Savikoti</t>
  </si>
  <si>
    <t>12 Veetootmine Tohvri</t>
  </si>
  <si>
    <t>13 Veetootmine Karula</t>
  </si>
  <si>
    <t>14 Veetootmine Saarepeedi</t>
  </si>
  <si>
    <t>15 Veetootmine Kärstna</t>
  </si>
  <si>
    <t>16 Veetootmine Mustla</t>
  </si>
  <si>
    <t>18 Veetootmine Suislepa</t>
  </si>
  <si>
    <t>20 Veetootmine Ruudiküla</t>
  </si>
  <si>
    <t>19 Veetootmine Mäeltküla (Järve)</t>
  </si>
  <si>
    <t>21 Veetootmine Tusti</t>
  </si>
  <si>
    <t>22 Veetootmine Vasara</t>
  </si>
  <si>
    <t>1 Puhastisse, Holstre</t>
  </si>
  <si>
    <t>2 Puhastisse, Intsu</t>
  </si>
  <si>
    <t>3 Puhastisse, Paistu</t>
  </si>
  <si>
    <t xml:space="preserve">4 Puhastisse, Ramsi </t>
  </si>
  <si>
    <t>5 Puhastisse, Heimtali</t>
  </si>
  <si>
    <t xml:space="preserve"> 6 Puhastisse, Matapera</t>
  </si>
  <si>
    <t xml:space="preserve"> 7 Puhastisse, Mustivere</t>
  </si>
  <si>
    <t>8 Puhastisse, Puiatu</t>
  </si>
  <si>
    <t>9 Puhastisse, Päri</t>
  </si>
  <si>
    <t>10 Puhastisse, Pärsti</t>
  </si>
  <si>
    <t>11 Puhastisse, Savikoti</t>
  </si>
  <si>
    <t>12 Puhastisse, Tohvri</t>
  </si>
  <si>
    <t>13 Puhastisse, Karula</t>
  </si>
  <si>
    <t>14 Puhastisse, Saarepeedi</t>
  </si>
  <si>
    <t>15 Puhastisse, Kärstna</t>
  </si>
  <si>
    <t>15 Puhastisse, Mustla</t>
  </si>
  <si>
    <t>16 Puhastisse, Soe</t>
  </si>
  <si>
    <t>17 Puhastisse, Suislepa</t>
  </si>
  <si>
    <t>18 Puhastisse, Mäeltküla</t>
  </si>
  <si>
    <t>19 Puhastisse,  Ruudiküla</t>
  </si>
  <si>
    <t>20 Puhastisse, Tusti</t>
  </si>
  <si>
    <t>21 Puhastisse, Vasara</t>
  </si>
  <si>
    <t>rekonstrueerimisprojekt: vähenemine 8% tasemele alates 2018</t>
  </si>
  <si>
    <t>eeldatud, et 2017.aastal projektimõju avaldus osaliselt, edasiselt prognoos 8%</t>
  </si>
  <si>
    <t>rekonstrueerimisprojekt: I etapi mõju avaldunud, II etapi lisaprojekti mõju alates 2023, siht 7%</t>
  </si>
  <si>
    <t>Vardi</t>
  </si>
  <si>
    <t>Tarbimine Vardi majapidamised</t>
  </si>
  <si>
    <t>Tarbimine Vardi ettevõtted</t>
  </si>
  <si>
    <t>Tarbimine Vardi kokku (m³)</t>
  </si>
  <si>
    <t>23 Veetootmine Vardi</t>
  </si>
  <si>
    <t>22 Puhastisse, Vardi (Ramsi RVP)</t>
  </si>
  <si>
    <t>sh teeninduspiirkonnad endine Viljandi vald</t>
  </si>
  <si>
    <t>sh teeninduspiirkonnad endine Tarvastu vald</t>
  </si>
  <si>
    <t>ülisuur veekaomäär 2016 (avarii), edasisel aluseks 2016-2017. keskmistatud veekaomäär</t>
  </si>
  <si>
    <t>2017. veeavarii, edasiselt arvestatud 2016-2017. keskmist näitu</t>
  </si>
  <si>
    <t>kõrge veekadu tuleneb veetootmise omatarbest (osmoos), edasiselt arvestatud 2017.näitu</t>
  </si>
  <si>
    <t>rekonstrueerimisprojekt: vähenemine 12% tasemele alates 2020, 2019.vähenemine poole võrra</t>
  </si>
  <si>
    <t>rekonstrueerimisprojekt: vähenemine 8% tasemele alates 2020. 2019 vähenemine poole võrra</t>
  </si>
  <si>
    <t>17 Veetootmine Soe</t>
  </si>
  <si>
    <t>Majapidamiste veetarbimine Viljandi valla asulates, operaator Ramsi VK</t>
  </si>
  <si>
    <t>rekonstrueerimisprojektid: vähenemine 25% tasemele alates 2019, 10% tasemele alates 2020</t>
  </si>
  <si>
    <t>Veetarbimine ja toodang aastatel 2020-2032</t>
  </si>
  <si>
    <t>Tarbimine Karula ettevõtted</t>
  </si>
  <si>
    <t>Reoveebilanss ja prognoos (2020-2032)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</si>
</sst>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1"/>
      <color theme="1"/>
      <name val="Calibri"/>
      <family val="2"/>
    </font>
    <font>
      <sz val="9"/>
      <color indexed="81"/>
      <name val="Tahoma"/>
      <family val="2"/>
      <charset val="186"/>
    </font>
    <font>
      <sz val="11"/>
      <name val="Calibri"/>
      <family val="2"/>
      <scheme val="minor"/>
    </font>
    <font>
      <b/>
      <sz val="11"/>
      <color theme="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7" fillId="0" borderId="0" applyFont="0" applyFill="0" applyBorder="0" applyAlignment="0" applyProtection="0"/>
    <xf numFmtId="0" fontId="16" fillId="0" borderId="0"/>
    <xf numFmtId="0" fontId="21" fillId="0" borderId="0"/>
    <xf numFmtId="0" fontId="5" fillId="0" borderId="0"/>
  </cellStyleXfs>
  <cellXfs count="135">
    <xf numFmtId="0" fontId="0" fillId="0" borderId="0" xfId="0"/>
    <xf numFmtId="0" fontId="16" fillId="0" borderId="0" xfId="2"/>
    <xf numFmtId="0" fontId="16" fillId="0" borderId="0" xfId="2" applyFont="1" applyAlignment="1" applyProtection="1">
      <alignment horizontal="left"/>
      <protection locked="0"/>
    </xf>
    <xf numFmtId="0" fontId="16" fillId="0" borderId="0" xfId="2" applyFont="1" applyAlignment="1" applyProtection="1">
      <alignment horizontal="center"/>
      <protection locked="0"/>
    </xf>
    <xf numFmtId="0" fontId="18" fillId="0" borderId="0" xfId="2" applyFont="1" applyAlignment="1" applyProtection="1">
      <alignment horizontal="center"/>
      <protection locked="0"/>
    </xf>
    <xf numFmtId="0" fontId="16" fillId="0" borderId="0" xfId="2" applyAlignment="1" applyProtection="1">
      <alignment horizontal="center"/>
      <protection locked="0"/>
    </xf>
    <xf numFmtId="0" fontId="16" fillId="0" borderId="0" xfId="2" applyAlignment="1">
      <alignment horizontal="center"/>
    </xf>
    <xf numFmtId="0" fontId="16" fillId="2" borderId="0" xfId="2" applyFont="1" applyFill="1" applyAlignment="1" applyProtection="1">
      <alignment horizontal="center"/>
      <protection locked="0"/>
    </xf>
    <xf numFmtId="0" fontId="16" fillId="2" borderId="0" xfId="2" applyFill="1" applyAlignment="1" applyProtection="1">
      <alignment horizontal="center"/>
      <protection locked="0"/>
    </xf>
    <xf numFmtId="0" fontId="16" fillId="3" borderId="0" xfId="2" applyFont="1" applyFill="1" applyAlignment="1" applyProtection="1">
      <alignment horizontal="center"/>
      <protection locked="0"/>
    </xf>
    <xf numFmtId="0" fontId="16" fillId="3" borderId="0" xfId="2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9" fontId="0" fillId="0" borderId="0" xfId="1" applyNumberFormat="1" applyFont="1" applyAlignment="1">
      <alignment horizontal="center"/>
    </xf>
    <xf numFmtId="1" fontId="0" fillId="0" borderId="0" xfId="1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6" fillId="4" borderId="0" xfId="2" applyFill="1" applyAlignment="1">
      <alignment horizontal="center"/>
    </xf>
    <xf numFmtId="0" fontId="16" fillId="0" borderId="0" xfId="2"/>
    <xf numFmtId="0" fontId="16" fillId="0" borderId="1" xfId="2" applyFont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0" xfId="0" applyFont="1"/>
    <xf numFmtId="0" fontId="18" fillId="0" borderId="0" xfId="0" applyFont="1" applyFill="1" applyBorder="1" applyAlignment="1">
      <alignment horizontal="left"/>
    </xf>
    <xf numFmtId="9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6" fillId="4" borderId="0" xfId="2" applyFill="1" applyAlignment="1" applyProtection="1">
      <alignment horizontal="center"/>
      <protection locked="0"/>
    </xf>
    <xf numFmtId="3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3" fontId="22" fillId="3" borderId="1" xfId="3" applyNumberFormat="1" applyFon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" fontId="18" fillId="4" borderId="1" xfId="0" applyNumberFormat="1" applyFont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164" fontId="0" fillId="4" borderId="1" xfId="1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9" fontId="0" fillId="4" borderId="1" xfId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/>
    <xf numFmtId="1" fontId="0" fillId="3" borderId="1" xfId="0" applyNumberFormat="1" applyFill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9" fontId="0" fillId="3" borderId="1" xfId="1" applyNumberFormat="1" applyFont="1" applyFill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164" fontId="7" fillId="5" borderId="1" xfId="1" applyNumberFormat="1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7" fillId="7" borderId="1" xfId="1" applyNumberFormat="1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164" fontId="7" fillId="6" borderId="1" xfId="1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Alignment="1"/>
    <xf numFmtId="164" fontId="0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16" fillId="0" borderId="2" xfId="2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5" fillId="0" borderId="1" xfId="4" applyBorder="1" applyAlignment="1" applyProtection="1">
      <alignment horizontal="center"/>
      <protection locked="0"/>
    </xf>
    <xf numFmtId="9" fontId="0" fillId="8" borderId="1" xfId="1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26" fillId="3" borderId="1" xfId="0" applyNumberFormat="1" applyFont="1" applyFill="1" applyBorder="1" applyAlignment="1">
      <alignment horizontal="center"/>
    </xf>
    <xf numFmtId="164" fontId="7" fillId="4" borderId="1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0" fillId="0" borderId="0" xfId="0" applyFill="1"/>
    <xf numFmtId="9" fontId="0" fillId="0" borderId="1" xfId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9" fontId="0" fillId="0" borderId="1" xfId="1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164" fontId="28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/>
    <xf numFmtId="3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164" fontId="27" fillId="0" borderId="0" xfId="0" applyNumberFormat="1" applyFont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3" fontId="28" fillId="4" borderId="0" xfId="0" applyNumberFormat="1" applyFont="1" applyFill="1" applyBorder="1" applyAlignment="1">
      <alignment horizontal="center" vertical="center"/>
    </xf>
    <xf numFmtId="3" fontId="28" fillId="4" borderId="0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</cellXfs>
  <cellStyles count="5">
    <cellStyle name="Normaallaad" xfId="0" builtinId="0"/>
    <cellStyle name="Normal 16" xfId="3"/>
    <cellStyle name="Normal 2" xfId="2"/>
    <cellStyle name="Normal 3" xfId="4"/>
    <cellStyle name="Prots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3"/>
  <sheetViews>
    <sheetView topLeftCell="A70" workbookViewId="0"/>
  </sheetViews>
  <sheetFormatPr defaultRowHeight="15" x14ac:dyDescent="0.25"/>
  <cols>
    <col min="1" max="1" width="30.85546875" customWidth="1"/>
    <col min="2" max="2" width="24.140625" customWidth="1"/>
    <col min="3" max="3" width="13" customWidth="1"/>
    <col min="5" max="5" width="16" customWidth="1"/>
    <col min="6" max="6" width="18.5703125" customWidth="1"/>
    <col min="7" max="7" width="18.140625" customWidth="1"/>
    <col min="8" max="8" width="18.5703125" customWidth="1"/>
    <col min="9" max="9" width="21.85546875" customWidth="1"/>
    <col min="10" max="10" width="22.7109375" customWidth="1"/>
  </cols>
  <sheetData>
    <row r="2" spans="1:10" x14ac:dyDescent="0.25">
      <c r="E2" t="s">
        <v>90</v>
      </c>
      <c r="F2" s="11" t="s">
        <v>90</v>
      </c>
      <c r="G2" s="11" t="s">
        <v>92</v>
      </c>
      <c r="H2" s="11" t="s">
        <v>92</v>
      </c>
      <c r="I2" s="11" t="s">
        <v>94</v>
      </c>
      <c r="J2" s="11" t="s">
        <v>95</v>
      </c>
    </row>
    <row r="3" spans="1:10" x14ac:dyDescent="0.25">
      <c r="A3" s="6" t="s">
        <v>89</v>
      </c>
      <c r="B3" s="1"/>
      <c r="C3" s="4" t="s">
        <v>88</v>
      </c>
      <c r="E3" s="11" t="s">
        <v>91</v>
      </c>
      <c r="F3" s="11" t="s">
        <v>93</v>
      </c>
      <c r="G3" s="11" t="s">
        <v>91</v>
      </c>
      <c r="H3" s="11" t="s">
        <v>93</v>
      </c>
    </row>
    <row r="4" spans="1:10" x14ac:dyDescent="0.25">
      <c r="A4" s="2"/>
      <c r="B4" s="4" t="s">
        <v>1</v>
      </c>
      <c r="C4" s="5">
        <v>1399</v>
      </c>
    </row>
    <row r="5" spans="1:10" x14ac:dyDescent="0.25">
      <c r="A5" s="1"/>
      <c r="B5" s="3" t="s">
        <v>2</v>
      </c>
      <c r="C5" s="5">
        <v>1399</v>
      </c>
    </row>
    <row r="6" spans="1:10" x14ac:dyDescent="0.25">
      <c r="A6" s="1"/>
      <c r="B6" s="3" t="s">
        <v>3</v>
      </c>
      <c r="C6" s="5">
        <v>115</v>
      </c>
    </row>
    <row r="7" spans="1:10" x14ac:dyDescent="0.25">
      <c r="A7" s="1"/>
      <c r="B7" s="9" t="s">
        <v>4</v>
      </c>
      <c r="C7" s="10">
        <v>60</v>
      </c>
    </row>
    <row r="8" spans="1:10" x14ac:dyDescent="0.25">
      <c r="A8" s="6" t="s">
        <v>97</v>
      </c>
      <c r="B8" s="7" t="s">
        <v>5</v>
      </c>
      <c r="C8" s="8">
        <v>193</v>
      </c>
      <c r="E8" s="11">
        <v>116</v>
      </c>
      <c r="F8" s="13">
        <f>E8/C8</f>
        <v>0.60103626943005184</v>
      </c>
      <c r="G8" s="11">
        <v>100</v>
      </c>
      <c r="H8" s="12">
        <f>G8/C8</f>
        <v>0.51813471502590669</v>
      </c>
      <c r="I8" s="11">
        <v>0</v>
      </c>
      <c r="J8" s="14">
        <v>60</v>
      </c>
    </row>
    <row r="9" spans="1:10" x14ac:dyDescent="0.25">
      <c r="A9" s="6" t="s">
        <v>97</v>
      </c>
      <c r="B9" s="7" t="s">
        <v>6</v>
      </c>
      <c r="C9" s="8">
        <v>128</v>
      </c>
      <c r="E9" s="11">
        <v>85</v>
      </c>
      <c r="F9" s="12">
        <f>E9/C9</f>
        <v>0.6640625</v>
      </c>
      <c r="G9" s="11">
        <v>56</v>
      </c>
      <c r="H9" s="12">
        <f>G9/C9</f>
        <v>0.4375</v>
      </c>
      <c r="I9" s="11">
        <v>25</v>
      </c>
      <c r="J9" s="11">
        <v>25</v>
      </c>
    </row>
    <row r="10" spans="1:10" x14ac:dyDescent="0.25">
      <c r="A10" s="1"/>
      <c r="B10" s="3" t="s">
        <v>7</v>
      </c>
      <c r="C10" s="5">
        <v>27</v>
      </c>
    </row>
    <row r="11" spans="1:10" x14ac:dyDescent="0.25">
      <c r="A11" s="1"/>
      <c r="B11" s="3" t="s">
        <v>8</v>
      </c>
      <c r="C11" s="5">
        <v>49</v>
      </c>
    </row>
    <row r="12" spans="1:10" x14ac:dyDescent="0.25">
      <c r="A12" s="1"/>
      <c r="B12" s="3" t="s">
        <v>9</v>
      </c>
      <c r="C12" s="5">
        <v>126</v>
      </c>
    </row>
    <row r="13" spans="1:10" x14ac:dyDescent="0.25">
      <c r="A13" s="1"/>
      <c r="B13" s="3" t="s">
        <v>10</v>
      </c>
      <c r="C13" s="5">
        <v>34</v>
      </c>
    </row>
    <row r="14" spans="1:10" x14ac:dyDescent="0.25">
      <c r="A14" s="1"/>
      <c r="B14" s="3" t="s">
        <v>11</v>
      </c>
      <c r="C14" s="5">
        <v>41</v>
      </c>
    </row>
    <row r="15" spans="1:10" x14ac:dyDescent="0.25">
      <c r="A15" s="6" t="s">
        <v>97</v>
      </c>
      <c r="B15" s="7" t="s">
        <v>12</v>
      </c>
      <c r="C15" s="8">
        <v>327</v>
      </c>
      <c r="E15" s="11">
        <v>218</v>
      </c>
      <c r="F15" s="12">
        <f>E15/C15</f>
        <v>0.66666666666666663</v>
      </c>
      <c r="G15" s="11">
        <v>218</v>
      </c>
      <c r="H15" s="12">
        <f>G15/C15</f>
        <v>0.66666666666666663</v>
      </c>
      <c r="I15" s="11">
        <v>0</v>
      </c>
      <c r="J15" s="11">
        <v>0</v>
      </c>
    </row>
    <row r="16" spans="1:10" x14ac:dyDescent="0.25">
      <c r="B16" s="3" t="s">
        <v>13</v>
      </c>
      <c r="C16" s="5">
        <v>36</v>
      </c>
    </row>
    <row r="17" spans="1:8" x14ac:dyDescent="0.25">
      <c r="B17" s="3" t="s">
        <v>14</v>
      </c>
      <c r="C17" s="5">
        <v>53</v>
      </c>
    </row>
    <row r="18" spans="1:8" x14ac:dyDescent="0.25">
      <c r="B18" s="3" t="s">
        <v>15</v>
      </c>
      <c r="C18" s="5">
        <v>18</v>
      </c>
    </row>
    <row r="19" spans="1:8" x14ac:dyDescent="0.25">
      <c r="A19" s="6" t="s">
        <v>97</v>
      </c>
      <c r="B19" s="7" t="s">
        <v>16</v>
      </c>
      <c r="C19" s="8">
        <v>116</v>
      </c>
      <c r="E19" s="11" t="s">
        <v>96</v>
      </c>
      <c r="F19" s="11" t="s">
        <v>96</v>
      </c>
      <c r="G19" s="11" t="s">
        <v>96</v>
      </c>
      <c r="H19" s="11" t="s">
        <v>96</v>
      </c>
    </row>
    <row r="20" spans="1:8" x14ac:dyDescent="0.25">
      <c r="B20" s="3" t="s">
        <v>17</v>
      </c>
      <c r="C20" s="5">
        <v>32</v>
      </c>
    </row>
    <row r="21" spans="1:8" x14ac:dyDescent="0.25">
      <c r="B21" s="3" t="s">
        <v>18</v>
      </c>
      <c r="C21" s="5">
        <v>44</v>
      </c>
    </row>
    <row r="22" spans="1:8" x14ac:dyDescent="0.25">
      <c r="B22" s="3"/>
      <c r="C22" s="5"/>
    </row>
    <row r="23" spans="1:8" x14ac:dyDescent="0.25">
      <c r="B23" s="4" t="s">
        <v>19</v>
      </c>
      <c r="C23" s="5">
        <v>3593</v>
      </c>
    </row>
    <row r="24" spans="1:8" x14ac:dyDescent="0.25">
      <c r="B24" s="3" t="s">
        <v>20</v>
      </c>
      <c r="C24" s="5">
        <v>633</v>
      </c>
    </row>
    <row r="25" spans="1:8" x14ac:dyDescent="0.25">
      <c r="A25" s="11" t="s">
        <v>97</v>
      </c>
      <c r="B25" s="7" t="s">
        <v>21</v>
      </c>
      <c r="C25" s="5">
        <v>633</v>
      </c>
    </row>
    <row r="26" spans="1:8" x14ac:dyDescent="0.25">
      <c r="B26" s="3" t="s">
        <v>22</v>
      </c>
      <c r="C26" s="5">
        <v>2960</v>
      </c>
    </row>
    <row r="27" spans="1:8" x14ac:dyDescent="0.25">
      <c r="B27" s="3" t="s">
        <v>23</v>
      </c>
      <c r="C27" s="5">
        <v>47</v>
      </c>
    </row>
    <row r="28" spans="1:8" x14ac:dyDescent="0.25">
      <c r="A28" s="11" t="s">
        <v>97</v>
      </c>
      <c r="B28" s="7" t="s">
        <v>24</v>
      </c>
      <c r="C28" s="5">
        <v>202</v>
      </c>
    </row>
    <row r="29" spans="1:8" x14ac:dyDescent="0.25">
      <c r="A29" s="11" t="s">
        <v>116</v>
      </c>
      <c r="B29" s="7" t="s">
        <v>25</v>
      </c>
      <c r="C29" s="5">
        <v>457</v>
      </c>
    </row>
    <row r="30" spans="1:8" x14ac:dyDescent="0.25">
      <c r="B30" s="3" t="s">
        <v>26</v>
      </c>
      <c r="C30" s="5">
        <v>21</v>
      </c>
    </row>
    <row r="31" spans="1:8" x14ac:dyDescent="0.25">
      <c r="B31" s="3" t="s">
        <v>27</v>
      </c>
      <c r="C31" s="5">
        <v>31</v>
      </c>
    </row>
    <row r="32" spans="1:8" x14ac:dyDescent="0.25">
      <c r="B32" s="3" t="s">
        <v>28</v>
      </c>
      <c r="C32" s="5">
        <v>16</v>
      </c>
    </row>
    <row r="33" spans="1:3" x14ac:dyDescent="0.25">
      <c r="B33" s="3" t="s">
        <v>29</v>
      </c>
      <c r="C33" s="5">
        <v>44</v>
      </c>
    </row>
    <row r="34" spans="1:3" x14ac:dyDescent="0.25">
      <c r="B34" s="3" t="s">
        <v>30</v>
      </c>
      <c r="C34" s="5">
        <v>22</v>
      </c>
    </row>
    <row r="35" spans="1:3" x14ac:dyDescent="0.25">
      <c r="B35" s="3" t="s">
        <v>31</v>
      </c>
      <c r="C35" s="5">
        <v>47</v>
      </c>
    </row>
    <row r="36" spans="1:3" x14ac:dyDescent="0.25">
      <c r="B36" s="3" t="s">
        <v>32</v>
      </c>
      <c r="C36" s="5">
        <v>42</v>
      </c>
    </row>
    <row r="37" spans="1:3" x14ac:dyDescent="0.25">
      <c r="A37" s="11" t="s">
        <v>97</v>
      </c>
      <c r="B37" s="7" t="s">
        <v>33</v>
      </c>
      <c r="C37" s="5">
        <v>134</v>
      </c>
    </row>
    <row r="38" spans="1:3" x14ac:dyDescent="0.25">
      <c r="A38" s="11" t="s">
        <v>97</v>
      </c>
      <c r="B38" s="7" t="s">
        <v>34</v>
      </c>
      <c r="C38" s="5">
        <v>185</v>
      </c>
    </row>
    <row r="39" spans="1:3" x14ac:dyDescent="0.25">
      <c r="A39" s="11" t="s">
        <v>116</v>
      </c>
      <c r="B39" s="7" t="s">
        <v>35</v>
      </c>
      <c r="C39" s="35">
        <v>172</v>
      </c>
    </row>
    <row r="40" spans="1:3" x14ac:dyDescent="0.25">
      <c r="A40" s="34" t="s">
        <v>97</v>
      </c>
      <c r="B40" s="7" t="s">
        <v>36</v>
      </c>
      <c r="C40" s="5">
        <v>220</v>
      </c>
    </row>
    <row r="41" spans="1:3" x14ac:dyDescent="0.25">
      <c r="A41" s="11" t="s">
        <v>97</v>
      </c>
      <c r="B41" s="7" t="s">
        <v>37</v>
      </c>
      <c r="C41" s="5">
        <v>450</v>
      </c>
    </row>
    <row r="42" spans="1:3" x14ac:dyDescent="0.25">
      <c r="A42" s="11" t="s">
        <v>97</v>
      </c>
      <c r="B42" s="7" t="s">
        <v>38</v>
      </c>
      <c r="C42" s="5">
        <v>145</v>
      </c>
    </row>
    <row r="43" spans="1:3" x14ac:dyDescent="0.25">
      <c r="B43" s="3" t="s">
        <v>39</v>
      </c>
      <c r="C43" s="5">
        <v>24</v>
      </c>
    </row>
    <row r="44" spans="1:3" x14ac:dyDescent="0.25">
      <c r="B44" s="3" t="s">
        <v>40</v>
      </c>
      <c r="C44" s="5">
        <v>28</v>
      </c>
    </row>
    <row r="45" spans="1:3" x14ac:dyDescent="0.25">
      <c r="A45" s="11" t="s">
        <v>97</v>
      </c>
      <c r="B45" s="7" t="s">
        <v>41</v>
      </c>
      <c r="C45" s="5">
        <v>130</v>
      </c>
    </row>
    <row r="46" spans="1:3" x14ac:dyDescent="0.25">
      <c r="B46" s="3" t="s">
        <v>42</v>
      </c>
      <c r="C46" s="5">
        <v>151</v>
      </c>
    </row>
    <row r="47" spans="1:3" x14ac:dyDescent="0.25">
      <c r="A47" s="11" t="s">
        <v>97</v>
      </c>
      <c r="B47" s="7" t="s">
        <v>43</v>
      </c>
      <c r="C47" s="5">
        <v>72</v>
      </c>
    </row>
    <row r="48" spans="1:3" x14ac:dyDescent="0.25">
      <c r="B48" s="3" t="s">
        <v>44</v>
      </c>
      <c r="C48" s="5">
        <v>28</v>
      </c>
    </row>
    <row r="49" spans="1:10" x14ac:dyDescent="0.25">
      <c r="B49" s="3" t="s">
        <v>45</v>
      </c>
      <c r="C49" s="5">
        <v>16</v>
      </c>
    </row>
    <row r="50" spans="1:10" x14ac:dyDescent="0.25">
      <c r="B50" s="3" t="s">
        <v>46</v>
      </c>
      <c r="C50" s="5">
        <v>30</v>
      </c>
    </row>
    <row r="51" spans="1:10" x14ac:dyDescent="0.25">
      <c r="B51" s="3" t="s">
        <v>47</v>
      </c>
      <c r="C51" s="5">
        <v>210</v>
      </c>
    </row>
    <row r="52" spans="1:10" x14ac:dyDescent="0.25">
      <c r="B52" s="3" t="s">
        <v>48</v>
      </c>
      <c r="C52" s="5">
        <v>36</v>
      </c>
    </row>
    <row r="53" spans="1:10" x14ac:dyDescent="0.25">
      <c r="B53" s="3"/>
      <c r="C53" s="5"/>
    </row>
    <row r="54" spans="1:10" x14ac:dyDescent="0.25">
      <c r="B54" s="4" t="s">
        <v>49</v>
      </c>
      <c r="C54" s="5">
        <v>1288</v>
      </c>
    </row>
    <row r="55" spans="1:10" x14ac:dyDescent="0.25">
      <c r="B55" s="3" t="s">
        <v>50</v>
      </c>
      <c r="C55" s="5">
        <v>1288</v>
      </c>
    </row>
    <row r="56" spans="1:10" x14ac:dyDescent="0.25">
      <c r="B56" s="9" t="s">
        <v>51</v>
      </c>
      <c r="C56" s="10">
        <v>46</v>
      </c>
    </row>
    <row r="57" spans="1:10" x14ac:dyDescent="0.25">
      <c r="B57" s="3" t="s">
        <v>52</v>
      </c>
      <c r="C57" s="5">
        <v>62</v>
      </c>
    </row>
    <row r="58" spans="1:10" x14ac:dyDescent="0.25">
      <c r="A58" s="11" t="s">
        <v>97</v>
      </c>
      <c r="B58" s="7" t="s">
        <v>53</v>
      </c>
      <c r="C58" s="8">
        <v>217</v>
      </c>
      <c r="E58" s="11">
        <v>65</v>
      </c>
      <c r="F58" s="15">
        <f>E58/C58</f>
        <v>0.29953917050691242</v>
      </c>
      <c r="G58" s="11">
        <v>17</v>
      </c>
      <c r="H58" s="12">
        <f>G58/C58</f>
        <v>7.8341013824884786E-2</v>
      </c>
      <c r="I58" s="11">
        <v>0</v>
      </c>
      <c r="J58" s="11">
        <v>0</v>
      </c>
    </row>
    <row r="59" spans="1:10" x14ac:dyDescent="0.25">
      <c r="B59" s="3" t="s">
        <v>54</v>
      </c>
      <c r="C59" s="5">
        <v>16</v>
      </c>
    </row>
    <row r="60" spans="1:10" x14ac:dyDescent="0.25">
      <c r="B60" s="9" t="s">
        <v>55</v>
      </c>
      <c r="C60" s="10">
        <v>40</v>
      </c>
    </row>
    <row r="61" spans="1:10" x14ac:dyDescent="0.25">
      <c r="A61" s="11" t="s">
        <v>116</v>
      </c>
      <c r="B61" s="7" t="s">
        <v>56</v>
      </c>
      <c r="C61" s="8">
        <v>288</v>
      </c>
      <c r="E61" s="11">
        <v>55</v>
      </c>
      <c r="F61" s="12">
        <f>E61/C61</f>
        <v>0.19097222222222221</v>
      </c>
      <c r="G61" s="11">
        <v>0</v>
      </c>
      <c r="H61" s="15">
        <v>0</v>
      </c>
      <c r="I61" s="16">
        <f>C61*0.72-E61</f>
        <v>152.35999999999999</v>
      </c>
    </row>
    <row r="62" spans="1:10" x14ac:dyDescent="0.25">
      <c r="A62" s="11" t="s">
        <v>97</v>
      </c>
      <c r="B62" s="7" t="s">
        <v>57</v>
      </c>
      <c r="C62" s="8">
        <v>295</v>
      </c>
      <c r="E62" s="16">
        <v>224</v>
      </c>
      <c r="F62" s="15">
        <f>E62/C62</f>
        <v>0.7593220338983051</v>
      </c>
      <c r="G62" s="11">
        <v>224</v>
      </c>
      <c r="H62" s="15">
        <f>G62/C62</f>
        <v>0.7593220338983051</v>
      </c>
      <c r="I62" s="11" t="s">
        <v>115</v>
      </c>
      <c r="J62" s="11">
        <v>0</v>
      </c>
    </row>
    <row r="63" spans="1:10" x14ac:dyDescent="0.25">
      <c r="B63" s="3" t="s">
        <v>58</v>
      </c>
      <c r="C63" s="5">
        <v>40</v>
      </c>
    </row>
    <row r="64" spans="1:10" x14ac:dyDescent="0.25">
      <c r="B64" s="3" t="s">
        <v>59</v>
      </c>
      <c r="C64" s="5">
        <v>79</v>
      </c>
    </row>
    <row r="65" spans="1:10" x14ac:dyDescent="0.25">
      <c r="B65" s="3" t="s">
        <v>60</v>
      </c>
      <c r="C65" s="5">
        <v>21</v>
      </c>
    </row>
    <row r="66" spans="1:10" x14ac:dyDescent="0.25">
      <c r="B66" s="3" t="s">
        <v>61</v>
      </c>
      <c r="C66" s="5">
        <v>72</v>
      </c>
    </row>
    <row r="67" spans="1:10" x14ac:dyDescent="0.25">
      <c r="B67" s="3" t="s">
        <v>62</v>
      </c>
      <c r="C67" s="5">
        <v>112</v>
      </c>
    </row>
    <row r="68" spans="1:10" x14ac:dyDescent="0.25">
      <c r="B68" s="3"/>
      <c r="C68" s="5"/>
    </row>
    <row r="69" spans="1:10" x14ac:dyDescent="0.25">
      <c r="B69" s="4" t="s">
        <v>63</v>
      </c>
      <c r="C69" s="5">
        <v>3461</v>
      </c>
    </row>
    <row r="70" spans="1:10" x14ac:dyDescent="0.25">
      <c r="B70" s="3" t="s">
        <v>64</v>
      </c>
      <c r="C70" s="5">
        <v>1332</v>
      </c>
    </row>
    <row r="71" spans="1:10" x14ac:dyDescent="0.25">
      <c r="A71" s="11" t="s">
        <v>98</v>
      </c>
      <c r="B71" s="7" t="s">
        <v>65</v>
      </c>
      <c r="C71" s="8">
        <v>1332</v>
      </c>
      <c r="E71" s="11">
        <f>C71*F71</f>
        <v>1332</v>
      </c>
      <c r="F71" s="15">
        <v>1</v>
      </c>
      <c r="G71" s="11">
        <v>1265</v>
      </c>
      <c r="H71" s="15">
        <f>G71/C71</f>
        <v>0.9496996996996997</v>
      </c>
      <c r="I71" s="11">
        <v>0</v>
      </c>
      <c r="J71" s="16">
        <v>0</v>
      </c>
    </row>
    <row r="72" spans="1:10" x14ac:dyDescent="0.25">
      <c r="B72" s="3" t="s">
        <v>66</v>
      </c>
      <c r="C72" s="5">
        <v>2129</v>
      </c>
    </row>
    <row r="73" spans="1:10" x14ac:dyDescent="0.25">
      <c r="B73" s="3" t="s">
        <v>67</v>
      </c>
      <c r="C73" s="5">
        <v>48</v>
      </c>
    </row>
    <row r="74" spans="1:10" x14ac:dyDescent="0.25">
      <c r="B74" s="3" t="s">
        <v>68</v>
      </c>
      <c r="C74" s="5">
        <v>29</v>
      </c>
    </row>
    <row r="75" spans="1:10" x14ac:dyDescent="0.25">
      <c r="B75" s="3" t="s">
        <v>69</v>
      </c>
      <c r="C75" s="5">
        <v>38</v>
      </c>
    </row>
    <row r="76" spans="1:10" x14ac:dyDescent="0.25">
      <c r="B76" s="3" t="s">
        <v>70</v>
      </c>
      <c r="C76" s="5">
        <v>26</v>
      </c>
    </row>
    <row r="77" spans="1:10" x14ac:dyDescent="0.25">
      <c r="A77" s="11" t="s">
        <v>97</v>
      </c>
      <c r="B77" s="7" t="s">
        <v>71</v>
      </c>
      <c r="C77" s="8">
        <v>86</v>
      </c>
      <c r="E77" s="11">
        <v>22</v>
      </c>
      <c r="F77" s="12">
        <f>E77/C77</f>
        <v>0.2558139534883721</v>
      </c>
      <c r="G77" s="11">
        <v>22</v>
      </c>
      <c r="H77" s="15">
        <f>F77</f>
        <v>0.2558139534883721</v>
      </c>
      <c r="I77" s="11">
        <v>0</v>
      </c>
      <c r="J77" s="11">
        <v>0</v>
      </c>
    </row>
    <row r="78" spans="1:10" x14ac:dyDescent="0.25">
      <c r="B78" s="9" t="s">
        <v>72</v>
      </c>
      <c r="C78" s="10">
        <v>105</v>
      </c>
    </row>
    <row r="79" spans="1:10" x14ac:dyDescent="0.25">
      <c r="B79" s="3" t="s">
        <v>73</v>
      </c>
      <c r="C79" s="5">
        <v>10</v>
      </c>
    </row>
    <row r="80" spans="1:10" x14ac:dyDescent="0.25">
      <c r="B80" s="3" t="s">
        <v>74</v>
      </c>
      <c r="C80" s="5">
        <v>33</v>
      </c>
    </row>
    <row r="81" spans="1:10" x14ac:dyDescent="0.25">
      <c r="A81" s="11" t="s">
        <v>97</v>
      </c>
      <c r="B81" s="7" t="s">
        <v>75</v>
      </c>
      <c r="C81" s="8">
        <v>44</v>
      </c>
      <c r="E81" s="11">
        <v>18</v>
      </c>
      <c r="F81" s="12">
        <f>E81/C81</f>
        <v>0.40909090909090912</v>
      </c>
      <c r="G81" s="11">
        <v>16</v>
      </c>
      <c r="H81" s="15">
        <f>G81/C81</f>
        <v>0.36363636363636365</v>
      </c>
      <c r="I81" s="11">
        <v>0</v>
      </c>
      <c r="J81" s="11">
        <v>0</v>
      </c>
    </row>
    <row r="82" spans="1:10" x14ac:dyDescent="0.25">
      <c r="A82" s="1"/>
      <c r="B82" s="3" t="s">
        <v>76</v>
      </c>
      <c r="C82" s="5">
        <v>55</v>
      </c>
    </row>
    <row r="83" spans="1:10" x14ac:dyDescent="0.25">
      <c r="A83" s="1"/>
      <c r="B83" s="3" t="s">
        <v>77</v>
      </c>
      <c r="C83" s="5">
        <v>33</v>
      </c>
    </row>
    <row r="84" spans="1:10" x14ac:dyDescent="0.25">
      <c r="A84" s="17" t="s">
        <v>97</v>
      </c>
      <c r="B84" s="7" t="s">
        <v>78</v>
      </c>
      <c r="C84" s="8">
        <v>120</v>
      </c>
      <c r="E84" s="11">
        <v>40</v>
      </c>
      <c r="F84" s="12">
        <f>E84/C84</f>
        <v>0.33333333333333331</v>
      </c>
      <c r="G84" s="11">
        <v>40</v>
      </c>
      <c r="H84" s="12">
        <f>G84/C84</f>
        <v>0.33333333333333331</v>
      </c>
      <c r="I84" s="11">
        <v>0</v>
      </c>
      <c r="J84" s="11">
        <v>0</v>
      </c>
    </row>
    <row r="85" spans="1:10" x14ac:dyDescent="0.25">
      <c r="A85" s="1"/>
      <c r="B85" s="3" t="s">
        <v>79</v>
      </c>
      <c r="C85" s="5">
        <v>57</v>
      </c>
    </row>
    <row r="86" spans="1:10" x14ac:dyDescent="0.25">
      <c r="A86" s="11" t="s">
        <v>98</v>
      </c>
      <c r="B86" s="7" t="s">
        <v>80</v>
      </c>
      <c r="C86" s="8">
        <v>146</v>
      </c>
      <c r="E86" s="11">
        <v>66</v>
      </c>
      <c r="F86" s="15">
        <f>E86/C86</f>
        <v>0.45205479452054792</v>
      </c>
      <c r="G86" s="11">
        <v>64</v>
      </c>
      <c r="H86" s="15">
        <f>G86/C86</f>
        <v>0.43835616438356162</v>
      </c>
      <c r="I86" s="11">
        <v>0</v>
      </c>
      <c r="J86" s="11">
        <v>0</v>
      </c>
    </row>
    <row r="87" spans="1:10" x14ac:dyDescent="0.25">
      <c r="A87" s="11" t="s">
        <v>98</v>
      </c>
      <c r="B87" s="7" t="s">
        <v>81</v>
      </c>
      <c r="C87" s="8">
        <v>336</v>
      </c>
      <c r="E87" s="11">
        <v>292</v>
      </c>
      <c r="F87" s="15">
        <f>E87/C87</f>
        <v>0.86904761904761907</v>
      </c>
      <c r="G87" s="11">
        <v>292</v>
      </c>
      <c r="H87" s="15">
        <f>G87/C87</f>
        <v>0.86904761904761907</v>
      </c>
      <c r="I87" s="11">
        <v>0</v>
      </c>
      <c r="J87" s="11">
        <v>0</v>
      </c>
    </row>
    <row r="88" spans="1:10" x14ac:dyDescent="0.25">
      <c r="A88" s="11" t="s">
        <v>98</v>
      </c>
      <c r="B88" s="7" t="s">
        <v>82</v>
      </c>
      <c r="C88" s="8">
        <v>119</v>
      </c>
      <c r="E88" s="11">
        <v>80</v>
      </c>
      <c r="F88" s="15">
        <f>E88/C88</f>
        <v>0.67226890756302526</v>
      </c>
      <c r="G88" s="11">
        <v>71</v>
      </c>
      <c r="H88" s="15">
        <f>G88/C88</f>
        <v>0.59663865546218486</v>
      </c>
      <c r="I88" s="11">
        <v>0</v>
      </c>
      <c r="J88" s="11">
        <v>0</v>
      </c>
    </row>
    <row r="89" spans="1:10" x14ac:dyDescent="0.25">
      <c r="A89" s="11" t="s">
        <v>98</v>
      </c>
      <c r="B89" s="7" t="s">
        <v>83</v>
      </c>
      <c r="C89" s="8">
        <v>418</v>
      </c>
      <c r="E89" s="11">
        <v>355</v>
      </c>
      <c r="F89" s="15">
        <f>E89/C89</f>
        <v>0.84928229665071775</v>
      </c>
      <c r="G89" s="11">
        <v>355</v>
      </c>
      <c r="H89" s="15">
        <f>G89/C89</f>
        <v>0.84928229665071775</v>
      </c>
      <c r="I89" s="11">
        <v>0</v>
      </c>
      <c r="J89" s="11">
        <v>0</v>
      </c>
    </row>
    <row r="90" spans="1:10" x14ac:dyDescent="0.25">
      <c r="A90" s="1"/>
      <c r="B90" s="3" t="s">
        <v>84</v>
      </c>
      <c r="C90" s="5">
        <v>63</v>
      </c>
    </row>
    <row r="91" spans="1:10" x14ac:dyDescent="0.25">
      <c r="A91" s="1"/>
      <c r="B91" s="3" t="s">
        <v>85</v>
      </c>
      <c r="C91" s="5">
        <v>211</v>
      </c>
    </row>
    <row r="92" spans="1:10" x14ac:dyDescent="0.25">
      <c r="A92" s="6" t="s">
        <v>97</v>
      </c>
      <c r="B92" s="7" t="s">
        <v>86</v>
      </c>
      <c r="C92" s="8">
        <v>54</v>
      </c>
      <c r="E92" s="11">
        <v>22</v>
      </c>
      <c r="F92" s="15">
        <f>E92/C92</f>
        <v>0.40740740740740738</v>
      </c>
      <c r="G92" s="11">
        <v>22</v>
      </c>
      <c r="H92" s="15">
        <f>G92/C92</f>
        <v>0.40740740740740738</v>
      </c>
    </row>
    <row r="93" spans="1:10" x14ac:dyDescent="0.25">
      <c r="A93" s="1"/>
      <c r="B93" s="3" t="s">
        <v>87</v>
      </c>
      <c r="C93" s="5">
        <v>98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K14" sqref="K14"/>
    </sheetView>
  </sheetViews>
  <sheetFormatPr defaultRowHeight="15" x14ac:dyDescent="0.25"/>
  <cols>
    <col min="1" max="1" width="20.28515625" customWidth="1"/>
    <col min="2" max="2" width="26.28515625" customWidth="1"/>
    <col min="6" max="6" width="26.5703125" customWidth="1"/>
    <col min="7" max="7" width="13.7109375" customWidth="1"/>
  </cols>
  <sheetData>
    <row r="1" spans="1:7" x14ac:dyDescent="0.25">
      <c r="C1" s="21" t="s">
        <v>117</v>
      </c>
      <c r="D1" s="20" t="s">
        <v>118</v>
      </c>
      <c r="E1" s="21" t="s">
        <v>121</v>
      </c>
      <c r="F1" s="21" t="s">
        <v>119</v>
      </c>
      <c r="G1" s="23" t="s">
        <v>120</v>
      </c>
    </row>
    <row r="2" spans="1:7" x14ac:dyDescent="0.25">
      <c r="C2" s="21">
        <v>2012</v>
      </c>
      <c r="D2" s="21">
        <v>48604</v>
      </c>
      <c r="E2" s="21">
        <v>1</v>
      </c>
      <c r="F2" s="24">
        <v>0</v>
      </c>
      <c r="G2" s="23"/>
    </row>
    <row r="3" spans="1:7" x14ac:dyDescent="0.25">
      <c r="C3" s="21">
        <v>2013</v>
      </c>
      <c r="D3" s="21">
        <v>48127</v>
      </c>
      <c r="E3" s="21">
        <f>D3/D2</f>
        <v>0.99018599292239318</v>
      </c>
      <c r="F3" s="22">
        <f>(D3-D2)/D3</f>
        <v>-9.9112764144866708E-3</v>
      </c>
      <c r="G3" s="25"/>
    </row>
    <row r="4" spans="1:7" x14ac:dyDescent="0.25">
      <c r="A4" s="19" t="s">
        <v>99</v>
      </c>
      <c r="B4" s="19" t="s">
        <v>0</v>
      </c>
      <c r="C4" s="99" t="s">
        <v>100</v>
      </c>
      <c r="D4" s="101">
        <v>47660</v>
      </c>
      <c r="E4" s="100">
        <f t="shared" ref="E4:E18" si="0">D4/D3</f>
        <v>0.9902965071581441</v>
      </c>
      <c r="F4" s="22">
        <f t="shared" ref="F4:F18" si="1">(D4-D3)/D4</f>
        <v>-9.798573227024758E-3</v>
      </c>
      <c r="G4" s="25"/>
    </row>
    <row r="5" spans="1:7" x14ac:dyDescent="0.25">
      <c r="A5" s="18"/>
      <c r="B5" s="18"/>
      <c r="C5" s="99" t="s">
        <v>101</v>
      </c>
      <c r="D5" s="101">
        <v>47172</v>
      </c>
      <c r="E5" s="100">
        <f t="shared" si="0"/>
        <v>0.98976080570709191</v>
      </c>
      <c r="F5" s="22">
        <f t="shared" si="1"/>
        <v>-1.034511998643263E-2</v>
      </c>
      <c r="G5" s="25"/>
    </row>
    <row r="6" spans="1:7" x14ac:dyDescent="0.25">
      <c r="A6" s="18"/>
      <c r="B6" s="18"/>
      <c r="C6" s="99" t="s">
        <v>102</v>
      </c>
      <c r="D6" s="101">
        <v>46702</v>
      </c>
      <c r="E6" s="100">
        <f t="shared" si="0"/>
        <v>0.9900364623081489</v>
      </c>
      <c r="F6" s="22">
        <f t="shared" si="1"/>
        <v>-1.006380883045694E-2</v>
      </c>
      <c r="G6" s="25"/>
    </row>
    <row r="7" spans="1:7" x14ac:dyDescent="0.25">
      <c r="A7" s="18"/>
      <c r="B7" s="18"/>
      <c r="C7" s="99" t="s">
        <v>103</v>
      </c>
      <c r="D7" s="101">
        <v>46218</v>
      </c>
      <c r="E7" s="100">
        <f t="shared" si="0"/>
        <v>0.9896364181405507</v>
      </c>
      <c r="F7" s="22">
        <f t="shared" si="1"/>
        <v>-1.0472110433164568E-2</v>
      </c>
      <c r="G7" s="25"/>
    </row>
    <row r="8" spans="1:7" x14ac:dyDescent="0.25">
      <c r="A8" s="18"/>
      <c r="B8" s="18"/>
      <c r="C8" s="99" t="s">
        <v>104</v>
      </c>
      <c r="D8" s="101">
        <v>45729</v>
      </c>
      <c r="E8" s="100">
        <f t="shared" si="0"/>
        <v>0.98941970660781509</v>
      </c>
      <c r="F8" s="22">
        <f t="shared" si="1"/>
        <v>-1.0693433051236633E-2</v>
      </c>
      <c r="G8" s="25">
        <v>13949</v>
      </c>
    </row>
    <row r="9" spans="1:7" x14ac:dyDescent="0.25">
      <c r="A9" s="18"/>
      <c r="B9" s="18"/>
      <c r="C9" s="99" t="s">
        <v>105</v>
      </c>
      <c r="D9" s="101">
        <v>45242</v>
      </c>
      <c r="E9" s="100">
        <f t="shared" si="0"/>
        <v>0.98935030287126335</v>
      </c>
      <c r="F9" s="22">
        <f t="shared" si="1"/>
        <v>-1.0764334025905133E-2</v>
      </c>
      <c r="G9" s="25">
        <f t="shared" ref="G9:G18" si="2">G8*E9</f>
        <v>13800.447374751253</v>
      </c>
    </row>
    <row r="10" spans="1:7" x14ac:dyDescent="0.25">
      <c r="A10" s="18"/>
      <c r="B10" s="18"/>
      <c r="C10" s="99" t="s">
        <v>106</v>
      </c>
      <c r="D10" s="101">
        <v>44746</v>
      </c>
      <c r="E10" s="100">
        <f t="shared" si="0"/>
        <v>0.98903673577649087</v>
      </c>
      <c r="F10" s="22">
        <f t="shared" si="1"/>
        <v>-1.1084789701872794E-2</v>
      </c>
      <c r="G10" s="25">
        <f t="shared" si="2"/>
        <v>13649.149423779221</v>
      </c>
    </row>
    <row r="11" spans="1:7" x14ac:dyDescent="0.25">
      <c r="A11" s="18"/>
      <c r="B11" s="18"/>
      <c r="C11" s="99" t="s">
        <v>107</v>
      </c>
      <c r="D11" s="101">
        <v>44257</v>
      </c>
      <c r="E11" s="100">
        <f t="shared" si="0"/>
        <v>0.98907164886246812</v>
      </c>
      <c r="F11" s="22">
        <f t="shared" si="1"/>
        <v>-1.1049099577467971E-2</v>
      </c>
      <c r="G11" s="25">
        <f t="shared" si="2"/>
        <v>13499.986726147521</v>
      </c>
    </row>
    <row r="12" spans="1:7" x14ac:dyDescent="0.25">
      <c r="A12" s="18"/>
      <c r="B12" s="18"/>
      <c r="C12" s="99" t="s">
        <v>108</v>
      </c>
      <c r="D12" s="101">
        <v>43774</v>
      </c>
      <c r="E12" s="100">
        <f t="shared" si="0"/>
        <v>0.98908647219648871</v>
      </c>
      <c r="F12" s="22">
        <f t="shared" si="1"/>
        <v>-1.1033947091881026E-2</v>
      </c>
      <c r="G12" s="25">
        <f t="shared" si="2"/>
        <v>13352.654245664677</v>
      </c>
    </row>
    <row r="13" spans="1:7" x14ac:dyDescent="0.25">
      <c r="A13" s="18"/>
      <c r="B13" s="18"/>
      <c r="C13" s="99" t="s">
        <v>109</v>
      </c>
      <c r="D13" s="101">
        <v>43295</v>
      </c>
      <c r="E13" s="100">
        <f t="shared" si="0"/>
        <v>0.98905743135194413</v>
      </c>
      <c r="F13" s="22">
        <f t="shared" si="1"/>
        <v>-1.1063633213996997E-2</v>
      </c>
      <c r="G13" s="25">
        <f t="shared" si="2"/>
        <v>13206.541909947737</v>
      </c>
    </row>
    <row r="14" spans="1:7" x14ac:dyDescent="0.25">
      <c r="A14" s="18"/>
      <c r="B14" s="18"/>
      <c r="C14" s="99" t="s">
        <v>110</v>
      </c>
      <c r="D14" s="101">
        <v>42818</v>
      </c>
      <c r="E14" s="100">
        <f t="shared" si="0"/>
        <v>0.9889825614967086</v>
      </c>
      <c r="F14" s="22">
        <f t="shared" si="1"/>
        <v>-1.114017469288617E-2</v>
      </c>
      <c r="G14" s="25">
        <f t="shared" si="2"/>
        <v>13061.039646613746</v>
      </c>
    </row>
    <row r="15" spans="1:7" x14ac:dyDescent="0.25">
      <c r="A15" s="18"/>
      <c r="B15" s="18"/>
      <c r="C15" s="99" t="s">
        <v>111</v>
      </c>
      <c r="D15" s="101">
        <v>42337</v>
      </c>
      <c r="E15" s="100">
        <f t="shared" si="0"/>
        <v>0.98876640665140825</v>
      </c>
      <c r="F15" s="22">
        <f t="shared" si="1"/>
        <v>-1.136122068167324E-2</v>
      </c>
      <c r="G15" s="25">
        <f t="shared" si="2"/>
        <v>12914.317238513853</v>
      </c>
    </row>
    <row r="16" spans="1:7" x14ac:dyDescent="0.25">
      <c r="A16" s="18"/>
      <c r="B16" s="18"/>
      <c r="C16" s="99" t="s">
        <v>112</v>
      </c>
      <c r="D16" s="101">
        <v>41854</v>
      </c>
      <c r="E16" s="100">
        <f t="shared" si="0"/>
        <v>0.98859153931549237</v>
      </c>
      <c r="F16" s="22">
        <f t="shared" si="1"/>
        <v>-1.154011564008219E-2</v>
      </c>
      <c r="G16" s="25">
        <f t="shared" si="2"/>
        <v>12766.984758031009</v>
      </c>
    </row>
    <row r="17" spans="1:7" x14ac:dyDescent="0.25">
      <c r="A17" s="18"/>
      <c r="B17" s="18"/>
      <c r="C17" s="99" t="s">
        <v>113</v>
      </c>
      <c r="D17" s="101">
        <v>41368</v>
      </c>
      <c r="E17" s="100">
        <f t="shared" si="0"/>
        <v>0.98838820662302285</v>
      </c>
      <c r="F17" s="22">
        <f t="shared" si="1"/>
        <v>-1.174821117772191E-2</v>
      </c>
      <c r="G17" s="25">
        <f t="shared" si="2"/>
        <v>12618.737168973736</v>
      </c>
    </row>
    <row r="18" spans="1:7" x14ac:dyDescent="0.25">
      <c r="A18" s="18"/>
      <c r="B18" s="18"/>
      <c r="C18" s="99" t="s">
        <v>114</v>
      </c>
      <c r="D18" s="101">
        <v>40877</v>
      </c>
      <c r="E18" s="100">
        <f t="shared" si="0"/>
        <v>0.98813092245213696</v>
      </c>
      <c r="F18" s="22">
        <f t="shared" si="1"/>
        <v>-1.2011644690168065E-2</v>
      </c>
      <c r="G18" s="25">
        <f t="shared" si="2"/>
        <v>12468.964398959084</v>
      </c>
    </row>
    <row r="19" spans="1:7" x14ac:dyDescent="0.25">
      <c r="C19" s="21">
        <v>2029</v>
      </c>
      <c r="D19" s="101">
        <v>40398</v>
      </c>
      <c r="E19" s="100">
        <f t="shared" ref="E19" si="3">D19/D18</f>
        <v>0.98828191892751427</v>
      </c>
      <c r="F19" s="22">
        <f t="shared" ref="F19" si="4">(D19-D18)/D19</f>
        <v>-1.185702262488242E-2</v>
      </c>
      <c r="G19" s="25">
        <f t="shared" ref="G19" si="5">G18*E19</f>
        <v>12322.852063242142</v>
      </c>
    </row>
    <row r="20" spans="1:7" x14ac:dyDescent="0.25">
      <c r="C20" s="21">
        <v>2029</v>
      </c>
      <c r="D20" s="101">
        <v>40398</v>
      </c>
      <c r="E20" s="100">
        <f t="shared" ref="E20:E22" si="6">D20/D19</f>
        <v>1</v>
      </c>
      <c r="F20" s="22">
        <f t="shared" ref="F20:F22" si="7">(D20-D19)/D20</f>
        <v>0</v>
      </c>
      <c r="G20" s="25">
        <f t="shared" ref="G20:G22" si="8">G19*E20</f>
        <v>12322.852063242142</v>
      </c>
    </row>
    <row r="21" spans="1:7" x14ac:dyDescent="0.25">
      <c r="C21" s="21">
        <v>2029</v>
      </c>
      <c r="D21" s="101">
        <v>40398</v>
      </c>
      <c r="E21" s="100">
        <f t="shared" si="6"/>
        <v>1</v>
      </c>
      <c r="F21" s="22">
        <f t="shared" si="7"/>
        <v>0</v>
      </c>
      <c r="G21" s="25">
        <f t="shared" si="8"/>
        <v>12322.852063242142</v>
      </c>
    </row>
    <row r="22" spans="1:7" x14ac:dyDescent="0.25">
      <c r="C22" s="21">
        <v>2029</v>
      </c>
      <c r="D22" s="101">
        <v>40398</v>
      </c>
      <c r="E22" s="100">
        <f t="shared" si="6"/>
        <v>1</v>
      </c>
      <c r="F22" s="22">
        <f t="shared" si="7"/>
        <v>0</v>
      </c>
      <c r="G22" s="25">
        <f t="shared" si="8"/>
        <v>12322.852063242142</v>
      </c>
    </row>
  </sheetData>
  <pageMargins left="0.7" right="0.7" top="0.75" bottom="0.75" header="0.3" footer="0.3"/>
  <ignoredErrors>
    <ignoredError sqref="C4:C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25"/>
  <sheetViews>
    <sheetView zoomScale="90" zoomScaleNormal="90" workbookViewId="0">
      <selection activeCell="Z214" sqref="Z214"/>
    </sheetView>
  </sheetViews>
  <sheetFormatPr defaultRowHeight="15" x14ac:dyDescent="0.25"/>
  <cols>
    <col min="1" max="1" width="30" customWidth="1"/>
    <col min="2" max="2" width="10.140625" hidden="1" customWidth="1"/>
    <col min="3" max="3" width="9.140625" hidden="1" customWidth="1"/>
    <col min="4" max="4" width="10.140625" hidden="1" customWidth="1"/>
    <col min="5" max="5" width="9" hidden="1" customWidth="1"/>
    <col min="6" max="9" width="0" hidden="1" customWidth="1"/>
  </cols>
  <sheetData>
    <row r="1" spans="1:24" x14ac:dyDescent="0.25">
      <c r="A1" s="27" t="s">
        <v>135</v>
      </c>
      <c r="U1" s="96"/>
      <c r="V1" s="11"/>
      <c r="W1" s="11"/>
      <c r="X1" s="11"/>
    </row>
    <row r="2" spans="1:24" x14ac:dyDescent="0.25">
      <c r="A2" s="26" t="s">
        <v>88</v>
      </c>
      <c r="B2" s="26">
        <v>2012</v>
      </c>
      <c r="C2" s="26">
        <f>B2+1</f>
        <v>2013</v>
      </c>
      <c r="D2" s="26">
        <f t="shared" ref="D2:S2" si="0">C2+1</f>
        <v>2014</v>
      </c>
      <c r="E2" s="26">
        <f t="shared" si="0"/>
        <v>2015</v>
      </c>
      <c r="F2" s="26">
        <f t="shared" si="0"/>
        <v>2016</v>
      </c>
      <c r="G2" s="26">
        <f t="shared" si="0"/>
        <v>2017</v>
      </c>
      <c r="H2" s="26">
        <f t="shared" si="0"/>
        <v>2018</v>
      </c>
      <c r="I2" s="26">
        <f t="shared" si="0"/>
        <v>2019</v>
      </c>
      <c r="J2" s="26">
        <f t="shared" si="0"/>
        <v>2020</v>
      </c>
      <c r="K2" s="26">
        <f t="shared" si="0"/>
        <v>2021</v>
      </c>
      <c r="L2" s="26">
        <f t="shared" si="0"/>
        <v>2022</v>
      </c>
      <c r="M2" s="26">
        <f t="shared" si="0"/>
        <v>2023</v>
      </c>
      <c r="N2" s="26">
        <f t="shared" si="0"/>
        <v>2024</v>
      </c>
      <c r="O2" s="26">
        <f t="shared" si="0"/>
        <v>2025</v>
      </c>
      <c r="P2" s="26">
        <f t="shared" si="0"/>
        <v>2026</v>
      </c>
      <c r="Q2" s="26">
        <f t="shared" si="0"/>
        <v>2027</v>
      </c>
      <c r="R2" s="26">
        <f t="shared" si="0"/>
        <v>2028</v>
      </c>
      <c r="S2" s="26">
        <f t="shared" si="0"/>
        <v>2029</v>
      </c>
      <c r="T2" s="26">
        <f t="shared" ref="T2" si="1">S2+1</f>
        <v>2030</v>
      </c>
      <c r="U2" s="26">
        <f t="shared" ref="U2" si="2">T2+1</f>
        <v>2031</v>
      </c>
      <c r="V2" s="26">
        <f t="shared" ref="V2" si="3">U2+1</f>
        <v>2032</v>
      </c>
    </row>
    <row r="3" spans="1:24" x14ac:dyDescent="0.25">
      <c r="A3" s="21" t="s">
        <v>123</v>
      </c>
      <c r="B3" s="21">
        <f>Rahvaloendus!C8</f>
        <v>193</v>
      </c>
      <c r="C3" s="25">
        <f>'Demogr.trend alates 2012'!$E$3*B3</f>
        <v>191.10589663402189</v>
      </c>
      <c r="D3" s="25">
        <f>'Demogr.trend alates 2012'!$E$3*C3</f>
        <v>189.23038201188319</v>
      </c>
      <c r="E3" s="25">
        <f>'Demogr.trend alates 2012'!$E$3*D3</f>
        <v>187.37327370352034</v>
      </c>
      <c r="F3" s="25">
        <f>G3/'Demogr.trend alates 2012'!$D$7*'Demogr.trend alates 2012'!$D$6</f>
        <v>193.0214524699862</v>
      </c>
      <c r="G3" s="25">
        <f>H3/'Demogr.trend alates 2012'!$D$8*'Demogr.trend alates 2012'!$D$7</f>
        <v>191.0210588466837</v>
      </c>
      <c r="H3" s="109">
        <v>189</v>
      </c>
      <c r="I3" s="25">
        <f>'Demogr.trend alates 2012'!$E$9*H3</f>
        <v>186.98720724266877</v>
      </c>
      <c r="J3" s="25">
        <f>'Demogr.trend alates 2012'!$E$10*I3</f>
        <v>184.93721708325134</v>
      </c>
      <c r="K3" s="25">
        <f>'Demogr.trend alates 2012'!$E$11*J3</f>
        <v>182.91615823656761</v>
      </c>
      <c r="L3" s="25">
        <f>'Demogr.trend alates 2012'!$E$12*K3</f>
        <v>180.91989765794136</v>
      </c>
      <c r="M3" s="25">
        <f>'Demogr.trend alates 2012'!$E$13*L3</f>
        <v>178.94016925802009</v>
      </c>
      <c r="N3" s="25">
        <f>'Demogr.trend alates 2012'!$E$14*M3</f>
        <v>176.9687069474513</v>
      </c>
      <c r="O3" s="25">
        <f>'Demogr.trend alates 2012'!$E$15*N3</f>
        <v>174.98071245817752</v>
      </c>
      <c r="P3" s="25">
        <f>'Demogr.trend alates 2012'!$E$16*O3</f>
        <v>172.98445187955127</v>
      </c>
      <c r="Q3" s="25">
        <f>'Demogr.trend alates 2012'!$E$17*P3</f>
        <v>170.97579216689627</v>
      </c>
      <c r="R3" s="25">
        <f>'Demogr.trend alates 2012'!$E$18*Q3</f>
        <v>168.94646723086007</v>
      </c>
      <c r="S3" s="25">
        <f>'Demogr.trend alates 2012'!$E$19*R3</f>
        <v>166.96673883093879</v>
      </c>
      <c r="T3" s="25">
        <f>'Demogr.trend alates 2012'!$E$19*S3</f>
        <v>165.0102090489093</v>
      </c>
      <c r="U3" s="25">
        <f>'Demogr.trend alates 2012'!$E$19*T3</f>
        <v>163.07660604148637</v>
      </c>
      <c r="V3" s="25">
        <f>'Demogr.trend alates 2012'!$E$19*U3</f>
        <v>161.16566115086641</v>
      </c>
    </row>
    <row r="4" spans="1:24" x14ac:dyDescent="0.25">
      <c r="A4" s="21" t="s">
        <v>124</v>
      </c>
      <c r="B4" s="21">
        <f>Rahvaloendus!C9</f>
        <v>128</v>
      </c>
      <c r="C4" s="25">
        <f>'Demogr.trend alates 2012'!$E$3*B4</f>
        <v>126.74380709406633</v>
      </c>
      <c r="D4" s="25">
        <f>'Demogr.trend alates 2012'!$E$3*C4</f>
        <v>125.49994247420233</v>
      </c>
      <c r="E4" s="25">
        <f>'Demogr.trend alates 2012'!$E$3*D4</f>
        <v>124.26828515052125</v>
      </c>
      <c r="F4" s="25">
        <f>G4/'Demogr.trend alates 2012'!$D$7*'Demogr.trend alates 2012'!$D$6</f>
        <v>118.46819305036192</v>
      </c>
      <c r="G4" s="25">
        <f>H4/'Demogr.trend alates 2012'!$D$8*'Demogr.trend alates 2012'!$D$7</f>
        <v>117.24043823394345</v>
      </c>
      <c r="H4" s="109">
        <v>116</v>
      </c>
      <c r="I4" s="25">
        <f>'Demogr.trend alates 2012'!$E$9*H4</f>
        <v>114.76463513306655</v>
      </c>
      <c r="J4" s="25">
        <f>'Demogr.trend alates 2012'!$E$10*I4</f>
        <v>113.50644011458812</v>
      </c>
      <c r="K4" s="25">
        <f>'Demogr.trend alates 2012'!$E$11*J4</f>
        <v>112.26600188064467</v>
      </c>
      <c r="L4" s="25">
        <f>'Demogr.trend alates 2012'!$E$12*K4</f>
        <v>111.0407837477312</v>
      </c>
      <c r="M4" s="25">
        <f>'Demogr.trend alates 2012'!$E$13*L4</f>
        <v>109.82571234883773</v>
      </c>
      <c r="N4" s="25">
        <f>'Demogr.trend alates 2012'!$E$14*M4</f>
        <v>108.61571431695424</v>
      </c>
      <c r="O4" s="25">
        <f>'Demogr.trend alates 2012'!$E$15*N4</f>
        <v>107.39556955105076</v>
      </c>
      <c r="P4" s="25">
        <f>'Demogr.trend alates 2012'!$E$16*O4</f>
        <v>106.17035141813729</v>
      </c>
      <c r="Q4" s="25">
        <f>'Demogr.trend alates 2012'!$E$17*P4</f>
        <v>104.93752323470882</v>
      </c>
      <c r="R4" s="25">
        <f>'Demogr.trend alates 2012'!$E$18*Q4</f>
        <v>103.69201163375538</v>
      </c>
      <c r="S4" s="25">
        <f>'Demogr.trend alates 2012'!$E$19*R4</f>
        <v>102.4769402348619</v>
      </c>
      <c r="T4" s="25">
        <f>'Demogr.trend alates 2012'!$E$19*S4</f>
        <v>101.27610714112951</v>
      </c>
      <c r="U4" s="25">
        <f>'Demogr.trend alates 2012'!$E$19*T4</f>
        <v>100.08934550694401</v>
      </c>
      <c r="V4" s="25">
        <f>'Demogr.trend alates 2012'!$E$19*U4</f>
        <v>98.916490441801614</v>
      </c>
    </row>
    <row r="5" spans="1:24" x14ac:dyDescent="0.25">
      <c r="A5" s="21" t="s">
        <v>125</v>
      </c>
      <c r="B5" s="21">
        <f>Rahvaloendus!C15</f>
        <v>327</v>
      </c>
      <c r="C5" s="25">
        <f>'Demogr.trend alates 2012'!$E$3*B5</f>
        <v>323.79081968562258</v>
      </c>
      <c r="D5" s="25">
        <f>'Demogr.trend alates 2012'!$E$3*C5</f>
        <v>320.61313428956379</v>
      </c>
      <c r="E5" s="25">
        <f>'Demogr.trend alates 2012'!$E$3*D5</f>
        <v>317.46663472047231</v>
      </c>
      <c r="F5" s="25">
        <f>G5/'Demogr.trend alates 2012'!$D$7*'Demogr.trend alates 2012'!$D$6</f>
        <v>309.44709046775569</v>
      </c>
      <c r="G5" s="25">
        <f>H5/'Demogr.trend alates 2012'!$D$8*'Demogr.trend alates 2012'!$D$7</f>
        <v>306.24011021452469</v>
      </c>
      <c r="H5" s="109">
        <v>303</v>
      </c>
      <c r="I5" s="25">
        <f>'Demogr.trend alates 2012'!$E$9*H5</f>
        <v>299.77314176999278</v>
      </c>
      <c r="J5" s="25">
        <f>'Demogr.trend alates 2012'!$E$10*I5</f>
        <v>296.48664960965687</v>
      </c>
      <c r="K5" s="25">
        <f>'Demogr.trend alates 2012'!$E$11*J5</f>
        <v>293.24653939513217</v>
      </c>
      <c r="L5" s="25">
        <f>'Demogr.trend alates 2012'!$E$12*K5</f>
        <v>290.04618513415994</v>
      </c>
      <c r="M5" s="25">
        <f>'Demogr.trend alates 2012'!$E$13*L5</f>
        <v>286.8723348422227</v>
      </c>
      <c r="N5" s="25">
        <f>'Demogr.trend alates 2012'!$E$14*M5</f>
        <v>283.71173653480287</v>
      </c>
      <c r="O5" s="25">
        <f>'Demogr.trend alates 2012'!$E$15*N5</f>
        <v>280.5246342583481</v>
      </c>
      <c r="P5" s="25">
        <f>'Demogr.trend alates 2012'!$E$16*O5</f>
        <v>277.32427999737587</v>
      </c>
      <c r="Q5" s="25">
        <f>'Demogr.trend alates 2012'!$E$17*P5</f>
        <v>274.10404775962741</v>
      </c>
      <c r="R5" s="25">
        <f>'Demogr.trend alates 2012'!$E$18*Q5</f>
        <v>270.85068556058525</v>
      </c>
      <c r="S5" s="25">
        <f>'Demogr.trend alates 2012'!$E$19*R5</f>
        <v>267.67683526864795</v>
      </c>
      <c r="T5" s="25">
        <f>'Demogr.trend alates 2012'!$E$19*S5</f>
        <v>264.54017641174352</v>
      </c>
      <c r="U5" s="25">
        <f>'Demogr.trend alates 2012'!$E$19*T5</f>
        <v>261.44027317762101</v>
      </c>
      <c r="V5" s="25">
        <f>'Demogr.trend alates 2012'!$E$19*U5</f>
        <v>258.37669486091283</v>
      </c>
      <c r="W5" s="16"/>
      <c r="X5" s="97"/>
    </row>
    <row r="6" spans="1:24" x14ac:dyDescent="0.25">
      <c r="A6" s="21" t="s">
        <v>126</v>
      </c>
      <c r="B6" s="21">
        <f>Rahvaloendus!C25</f>
        <v>633</v>
      </c>
      <c r="C6" s="25">
        <f>'Demogr.trend alates 2012'!$E$3*B6</f>
        <v>626.78773351987491</v>
      </c>
      <c r="D6" s="25">
        <f>'Demogr.trend alates 2012'!$E$3*C6</f>
        <v>620.63643426695376</v>
      </c>
      <c r="E6" s="25">
        <f>'Demogr.trend alates 2012'!$E$3*D6</f>
        <v>614.54550390843724</v>
      </c>
      <c r="F6" s="25">
        <f>G6/'Demogr.trend alates 2012'!$D$7*'Demogr.trend alates 2012'!$D$6</f>
        <v>564.76647204181165</v>
      </c>
      <c r="G6" s="25">
        <f>H6/'Demogr.trend alates 2012'!$D$8*'Demogr.trend alates 2012'!$D$7</f>
        <v>558.91346847733394</v>
      </c>
      <c r="H6" s="109">
        <v>553</v>
      </c>
      <c r="I6" s="25">
        <f>'Demogr.trend alates 2012'!$E$9*H6</f>
        <v>547.11071748780864</v>
      </c>
      <c r="J6" s="25">
        <f>'Demogr.trend alates 2012'!$E$10*I6</f>
        <v>541.11259813247614</v>
      </c>
      <c r="K6" s="25">
        <f>'Demogr.trend alates 2012'!$E$11*J6</f>
        <v>535.19912965514231</v>
      </c>
      <c r="L6" s="25">
        <f>'Demogr.trend alates 2012'!$E$12*K6</f>
        <v>529.35821907323589</v>
      </c>
      <c r="M6" s="25">
        <f>'Demogr.trend alates 2012'!$E$13*L6</f>
        <v>523.56568042161439</v>
      </c>
      <c r="N6" s="25">
        <f>'Demogr.trend alates 2012'!$E$14*M6</f>
        <v>517.79732773513535</v>
      </c>
      <c r="O6" s="25">
        <f>'Demogr.trend alates 2012'!$E$15*N6</f>
        <v>511.98060311837133</v>
      </c>
      <c r="P6" s="25">
        <f>'Demogr.trend alates 2012'!$E$16*O6</f>
        <v>506.13969253646491</v>
      </c>
      <c r="Q6" s="25">
        <f>'Demogr.trend alates 2012'!$E$17*P6</f>
        <v>500.26250300684472</v>
      </c>
      <c r="R6" s="25">
        <f>'Demogr.trend alates 2012'!$E$18*Q6</f>
        <v>494.32484856436844</v>
      </c>
      <c r="S6" s="25">
        <f>'Demogr.trend alates 2012'!$E$19*R6</f>
        <v>488.53230991274694</v>
      </c>
      <c r="T6" s="25">
        <f>'Demogr.trend alates 2012'!$E$19*S6</f>
        <v>482.80764869866067</v>
      </c>
      <c r="U6" s="25">
        <f>'Demogr.trend alates 2012'!$E$19*T6</f>
        <v>477.15006952879355</v>
      </c>
      <c r="V6" s="25">
        <f>'Demogr.trend alates 2012'!$E$19*U6</f>
        <v>471.55878633031296</v>
      </c>
      <c r="W6" s="16"/>
      <c r="X6" s="97"/>
    </row>
    <row r="7" spans="1:24" x14ac:dyDescent="0.25">
      <c r="A7" s="21" t="s">
        <v>314</v>
      </c>
      <c r="B7" s="21"/>
      <c r="C7" s="25"/>
      <c r="D7" s="25"/>
      <c r="E7" s="25"/>
      <c r="F7" s="25">
        <f>G7/'Demogr.trend alates 2012'!$D$7*'Demogr.trend alates 2012'!$D$6</f>
        <v>208.34061536442957</v>
      </c>
      <c r="G7" s="25">
        <f>H7/'Demogr.trend alates 2012'!$D$8*'Demogr.trend alates 2012'!$D$7</f>
        <v>206.18146034245228</v>
      </c>
      <c r="H7" s="109">
        <v>204</v>
      </c>
      <c r="I7" s="25">
        <f>'Demogr.trend alates 2012'!$E$9*H7</f>
        <v>201.82746178573771</v>
      </c>
      <c r="J7" s="25">
        <f>'Demogr.trend alates 2012'!$E$10*I7</f>
        <v>199.61477399462046</v>
      </c>
      <c r="K7" s="25">
        <f>'Demogr.trend alates 2012'!$E$11*J7</f>
        <v>197.43331365216818</v>
      </c>
      <c r="L7" s="25">
        <f>'Demogr.trend alates 2012'!$E$12*K7</f>
        <v>195.27861969428588</v>
      </c>
      <c r="M7" s="25">
        <f>'Demogr.trend alates 2012'!$E$13*L7</f>
        <v>193.14176999278357</v>
      </c>
      <c r="N7" s="25">
        <f>'Demogr.trend alates 2012'!$E$14*M7</f>
        <v>191.01384241947122</v>
      </c>
      <c r="O7" s="25">
        <f>'Demogr.trend alates 2012'!$E$15*N7</f>
        <v>188.86807058977888</v>
      </c>
      <c r="P7" s="25">
        <f>'Demogr.trend alates 2012'!$E$16*O7</f>
        <v>186.71337663189658</v>
      </c>
      <c r="Q7" s="25">
        <f>'Demogr.trend alates 2012'!$E$17*P7</f>
        <v>184.54529948172927</v>
      </c>
      <c r="R7" s="25">
        <f>'Demogr.trend alates 2012'!$E$18*Q7</f>
        <v>182.35491701108703</v>
      </c>
      <c r="S7" s="25">
        <f>'Demogr.trend alates 2012'!$E$19*R7</f>
        <v>180.21806730958471</v>
      </c>
      <c r="T7" s="25">
        <f>'Demogr.trend alates 2012'!$E$19*S7</f>
        <v>178.1062573861243</v>
      </c>
      <c r="U7" s="25">
        <f>'Demogr.trend alates 2012'!$E$19*T7</f>
        <v>176.01919382255667</v>
      </c>
      <c r="V7" s="25">
        <f>'Demogr.trend alates 2012'!$E$19*U7</f>
        <v>173.95658663903038</v>
      </c>
      <c r="W7" s="16"/>
      <c r="X7" s="97"/>
    </row>
    <row r="8" spans="1:24" x14ac:dyDescent="0.25">
      <c r="A8" s="21" t="s">
        <v>127</v>
      </c>
      <c r="B8" s="21">
        <f>Rahvaloendus!C28</f>
        <v>202</v>
      </c>
      <c r="C8" s="25">
        <f>'Demogr.trend alates 2012'!$E$3*B8</f>
        <v>200.01757057032341</v>
      </c>
      <c r="D8" s="25">
        <f>'Demogr.trend alates 2012'!$E$3*C8</f>
        <v>198.05459671710054</v>
      </c>
      <c r="E8" s="25">
        <f>'Demogr.trend alates 2012'!$E$3*D8</f>
        <v>196.11088750316634</v>
      </c>
      <c r="F8" s="25">
        <f>G8/'Demogr.trend alates 2012'!$D$7*'Demogr.trend alates 2012'!$D$6</f>
        <v>201.19167268035602</v>
      </c>
      <c r="G8" s="25">
        <f>H8/'Demogr.trend alates 2012'!$D$8*'Demogr.trend alates 2012'!$D$7</f>
        <v>199.1066063110936</v>
      </c>
      <c r="H8" s="109">
        <v>197</v>
      </c>
      <c r="I8" s="25">
        <f>'Demogr.trend alates 2012'!$E$9*H8</f>
        <v>194.90200966563887</v>
      </c>
      <c r="J8" s="25">
        <f>'Demogr.trend alates 2012'!$E$10*I8</f>
        <v>192.76524743598154</v>
      </c>
      <c r="K8" s="25">
        <f>'Demogr.trend alates 2012'!$E$11*J8</f>
        <v>190.65864112488791</v>
      </c>
      <c r="L8" s="25">
        <f>'Demogr.trend alates 2012'!$E$12*K8</f>
        <v>188.57788274399175</v>
      </c>
      <c r="M8" s="25">
        <f>'Demogr.trend alates 2012'!$E$13*L8</f>
        <v>186.51435631656059</v>
      </c>
      <c r="N8" s="25">
        <f>'Demogr.trend alates 2012'!$E$14*M8</f>
        <v>184.45944586586191</v>
      </c>
      <c r="O8" s="25">
        <f>'Demogr.trend alates 2012'!$E$15*N8</f>
        <v>182.38730346169825</v>
      </c>
      <c r="P8" s="25">
        <f>'Demogr.trend alates 2012'!$E$16*O8</f>
        <v>180.3065450808021</v>
      </c>
      <c r="Q8" s="25">
        <f>'Demogr.trend alates 2012'!$E$17*P8</f>
        <v>178.2128627348072</v>
      </c>
      <c r="R8" s="25">
        <f>'Demogr.trend alates 2012'!$E$18*Q8</f>
        <v>176.0976404469811</v>
      </c>
      <c r="S8" s="25">
        <f>'Demogr.trend alates 2012'!$E$19*R8</f>
        <v>174.03411401954995</v>
      </c>
      <c r="T8" s="25">
        <f>'Demogr.trend alates 2012'!$E$19*S8</f>
        <v>171.99476816209062</v>
      </c>
      <c r="U8" s="25">
        <f>'Demogr.trend alates 2012'!$E$19*T8</f>
        <v>169.97931952472385</v>
      </c>
      <c r="V8" s="25">
        <f>'Demogr.trend alates 2012'!$E$19*U8</f>
        <v>167.98748807788718</v>
      </c>
    </row>
    <row r="9" spans="1:24" x14ac:dyDescent="0.25">
      <c r="A9" s="21" t="s">
        <v>128</v>
      </c>
      <c r="B9" s="21">
        <f>Rahvaloendus!C37</f>
        <v>134</v>
      </c>
      <c r="C9" s="25">
        <f>'Demogr.trend alates 2012'!$E$3*B9</f>
        <v>132.68492305160069</v>
      </c>
      <c r="D9" s="25">
        <f>'Demogr.trend alates 2012'!$E$3*C9</f>
        <v>131.38275227768057</v>
      </c>
      <c r="E9" s="25">
        <f>'Demogr.trend alates 2012'!$E$3*D9</f>
        <v>130.09336101695195</v>
      </c>
      <c r="F9" s="25">
        <f>G9/'Demogr.trend alates 2012'!$D$7*'Demogr.trend alates 2012'!$D$6</f>
        <v>119.48947057665814</v>
      </c>
      <c r="G9" s="25">
        <f>H9/'Demogr.trend alates 2012'!$D$8*'Demogr.trend alates 2012'!$D$7</f>
        <v>118.25113166699468</v>
      </c>
      <c r="H9" s="109">
        <v>117</v>
      </c>
      <c r="I9" s="25">
        <f>'Demogr.trend alates 2012'!$E$9*H9</f>
        <v>115.75398543593781</v>
      </c>
      <c r="J9" s="25">
        <f>'Demogr.trend alates 2012'!$E$10*I9</f>
        <v>114.4849439086794</v>
      </c>
      <c r="K9" s="25">
        <f>'Demogr.trend alates 2012'!$E$11*J9</f>
        <v>113.2338122416847</v>
      </c>
      <c r="L9" s="25">
        <f>'Demogr.trend alates 2012'!$E$12*K9</f>
        <v>111.9980318834875</v>
      </c>
      <c r="M9" s="25">
        <f>'Demogr.trend alates 2012'!$E$13*L9</f>
        <v>110.77248573115529</v>
      </c>
      <c r="N9" s="25">
        <f>'Demogr.trend alates 2012'!$E$14*M9</f>
        <v>109.55205668175556</v>
      </c>
      <c r="O9" s="25">
        <f>'Demogr.trend alates 2012'!$E$15*N9</f>
        <v>108.32139342649084</v>
      </c>
      <c r="P9" s="25">
        <f>'Demogr.trend alates 2012'!$E$16*O9</f>
        <v>107.08561306829364</v>
      </c>
      <c r="Q9" s="25">
        <f>'Demogr.trend alates 2012'!$E$17*P9</f>
        <v>105.84215705569768</v>
      </c>
      <c r="R9" s="25">
        <f>'Demogr.trend alates 2012'!$E$18*Q9</f>
        <v>104.58590828577051</v>
      </c>
      <c r="S9" s="25">
        <f>'Demogr.trend alates 2012'!$E$19*R9</f>
        <v>103.3603621334383</v>
      </c>
      <c r="T9" s="25">
        <f>'Demogr.trend alates 2012'!$E$19*S9</f>
        <v>102.14917703027719</v>
      </c>
      <c r="U9" s="25">
        <f>'Demogr.trend alates 2012'!$E$19*T9</f>
        <v>100.95218469234869</v>
      </c>
      <c r="V9" s="25">
        <f>'Demogr.trend alates 2012'!$E$19*U9</f>
        <v>99.769218807679195</v>
      </c>
    </row>
    <row r="10" spans="1:24" x14ac:dyDescent="0.25">
      <c r="A10" s="21" t="s">
        <v>129</v>
      </c>
      <c r="B10" s="21">
        <f>Rahvaloendus!C38</f>
        <v>185</v>
      </c>
      <c r="C10" s="25">
        <f>'Demogr.trend alates 2012'!$E$3*B10</f>
        <v>183.18440869064273</v>
      </c>
      <c r="D10" s="25">
        <f>'Demogr.trend alates 2012'!$E$3*C10</f>
        <v>181.38663560724555</v>
      </c>
      <c r="E10" s="25">
        <f>'Demogr.trend alates 2012'!$E$3*D10</f>
        <v>179.60650588161275</v>
      </c>
      <c r="F10" s="25">
        <f>G10/'Demogr.trend alates 2012'!$D$7*'Demogr.trend alates 2012'!$D$6</f>
        <v>185.87250978591265</v>
      </c>
      <c r="G10" s="25">
        <f>H10/'Demogr.trend alates 2012'!$D$8*'Demogr.trend alates 2012'!$D$7</f>
        <v>183.94620481532505</v>
      </c>
      <c r="H10" s="109">
        <v>182</v>
      </c>
      <c r="I10" s="25">
        <f>'Demogr.trend alates 2012'!$E$9*H10</f>
        <v>180.06175512256993</v>
      </c>
      <c r="J10" s="25">
        <f>'Demogr.trend alates 2012'!$E$10*I10</f>
        <v>178.08769052461241</v>
      </c>
      <c r="K10" s="25">
        <f>'Demogr.trend alates 2012'!$E$11*J10</f>
        <v>176.14148570928734</v>
      </c>
      <c r="L10" s="25">
        <f>'Demogr.trend alates 2012'!$E$12*K10</f>
        <v>174.21916070764723</v>
      </c>
      <c r="M10" s="25">
        <f>'Demogr.trend alates 2012'!$E$13*L10</f>
        <v>172.31275558179712</v>
      </c>
      <c r="N10" s="25">
        <f>'Demogr.trend alates 2012'!$E$14*M10</f>
        <v>170.41431039384199</v>
      </c>
      <c r="O10" s="25">
        <f>'Demogr.trend alates 2012'!$E$15*N10</f>
        <v>168.49994533009686</v>
      </c>
      <c r="P10" s="25">
        <f>'Demogr.trend alates 2012'!$E$16*O10</f>
        <v>166.57762032845676</v>
      </c>
      <c r="Q10" s="25">
        <f>'Demogr.trend alates 2012'!$E$17*P10</f>
        <v>164.64335541997417</v>
      </c>
      <c r="R10" s="25">
        <f>'Demogr.trend alates 2012'!$E$18*Q10</f>
        <v>162.68919066675412</v>
      </c>
      <c r="S10" s="25">
        <f>'Demogr.trend alates 2012'!$E$19*R10</f>
        <v>160.782785540904</v>
      </c>
      <c r="T10" s="25">
        <f>'Demogr.trend alates 2012'!$E$19*S10</f>
        <v>158.8987198248756</v>
      </c>
      <c r="U10" s="25">
        <f>'Demogr.trend alates 2012'!$E$19*T10</f>
        <v>157.03673174365352</v>
      </c>
      <c r="V10" s="25">
        <f>'Demogr.trend alates 2012'!$E$19*U10</f>
        <v>155.19656258972319</v>
      </c>
    </row>
    <row r="11" spans="1:24" x14ac:dyDescent="0.25">
      <c r="A11" s="21" t="s">
        <v>130</v>
      </c>
      <c r="B11" s="21">
        <f>Rahvaloendus!C40</f>
        <v>220</v>
      </c>
      <c r="C11" s="25">
        <f>'Demogr.trend alates 2012'!$E$3*B11</f>
        <v>217.84091844292649</v>
      </c>
      <c r="D11" s="25">
        <f>'Demogr.trend alates 2012'!$E$3*C11</f>
        <v>215.70302612753525</v>
      </c>
      <c r="E11" s="25">
        <f>'Demogr.trend alates 2012'!$E$3*D11</f>
        <v>213.58611510245842</v>
      </c>
      <c r="F11" s="25">
        <f>G11/'Demogr.trend alates 2012'!$D$7*'Demogr.trend alates 2012'!$D$6</f>
        <v>195.06400752257866</v>
      </c>
      <c r="G11" s="25">
        <f>H11/'Demogr.trend alates 2012'!$D$8*'Demogr.trend alates 2012'!$D$7</f>
        <v>193.04244571278622</v>
      </c>
      <c r="H11" s="109">
        <v>191</v>
      </c>
      <c r="I11" s="25">
        <f>'Demogr.trend alates 2012'!$E$9*H11</f>
        <v>188.96590784841129</v>
      </c>
      <c r="J11" s="25">
        <f>'Demogr.trend alates 2012'!$E$10*I11</f>
        <v>186.89422467143388</v>
      </c>
      <c r="K11" s="25">
        <f>'Demogr.trend alates 2012'!$E$11*J11</f>
        <v>184.85177895864769</v>
      </c>
      <c r="L11" s="25">
        <f>'Demogr.trend alates 2012'!$E$12*K11</f>
        <v>182.83439392945397</v>
      </c>
      <c r="M11" s="25">
        <f>'Demogr.trend alates 2012'!$E$13*L11</f>
        <v>180.83371602265524</v>
      </c>
      <c r="N11" s="25">
        <f>'Demogr.trend alates 2012'!$E$14*M11</f>
        <v>178.84139167705396</v>
      </c>
      <c r="O11" s="25">
        <f>'Demogr.trend alates 2012'!$E$15*N11</f>
        <v>176.83236020905773</v>
      </c>
      <c r="P11" s="25">
        <f>'Demogr.trend alates 2012'!$E$16*O11</f>
        <v>174.81497517986401</v>
      </c>
      <c r="Q11" s="25">
        <f>'Demogr.trend alates 2012'!$E$17*P11</f>
        <v>172.78505980887402</v>
      </c>
      <c r="R11" s="25">
        <f>'Demogr.trend alates 2012'!$E$18*Q11</f>
        <v>170.73426053489035</v>
      </c>
      <c r="S11" s="25">
        <f>'Demogr.trend alates 2012'!$E$19*R11</f>
        <v>168.7335826280916</v>
      </c>
      <c r="T11" s="25">
        <f>'Demogr.trend alates 2012'!$E$19*S11</f>
        <v>166.75634882720465</v>
      </c>
      <c r="U11" s="25">
        <f>'Demogr.trend alates 2012'!$E$19*T11</f>
        <v>164.80228441229576</v>
      </c>
      <c r="V11" s="25">
        <f>'Demogr.trend alates 2012'!$E$19*U11</f>
        <v>162.87111788262163</v>
      </c>
    </row>
    <row r="12" spans="1:24" x14ac:dyDescent="0.25">
      <c r="A12" s="21" t="s">
        <v>131</v>
      </c>
      <c r="B12" s="21">
        <f>Rahvaloendus!C41</f>
        <v>450</v>
      </c>
      <c r="C12" s="25">
        <f>'Demogr.trend alates 2012'!$E$3*B12</f>
        <v>445.58369681507691</v>
      </c>
      <c r="D12" s="25">
        <f>'Demogr.trend alates 2012'!$E$3*C12</f>
        <v>441.21073526086752</v>
      </c>
      <c r="E12" s="25">
        <f>'Demogr.trend alates 2012'!$E$3*D12</f>
        <v>436.88068998230125</v>
      </c>
      <c r="F12" s="25">
        <f>G12/'Demogr.trend alates 2012'!$D$7*'Demogr.trend alates 2012'!$D$6</f>
        <v>486.12810251700233</v>
      </c>
      <c r="G12" s="25">
        <f>H12/'Demogr.trend alates 2012'!$D$8*'Demogr.trend alates 2012'!$D$7</f>
        <v>481.09007413238862</v>
      </c>
      <c r="H12" s="109">
        <v>476</v>
      </c>
      <c r="I12" s="25">
        <f>'Demogr.trend alates 2012'!$E$9*H12</f>
        <v>470.93074416672135</v>
      </c>
      <c r="J12" s="25">
        <f>'Demogr.trend alates 2012'!$E$10*I12</f>
        <v>465.76780598744779</v>
      </c>
      <c r="K12" s="25">
        <f>'Demogr.trend alates 2012'!$E$11*J12</f>
        <v>460.67773185505911</v>
      </c>
      <c r="L12" s="25">
        <f>'Demogr.trend alates 2012'!$E$12*K12</f>
        <v>455.65011262000041</v>
      </c>
      <c r="M12" s="25">
        <f>'Demogr.trend alates 2012'!$E$13*L12</f>
        <v>450.66412998316167</v>
      </c>
      <c r="N12" s="25">
        <f>'Demogr.trend alates 2012'!$E$14*M12</f>
        <v>445.69896564543285</v>
      </c>
      <c r="O12" s="25">
        <f>'Demogr.trend alates 2012'!$E$15*N12</f>
        <v>440.69216470948408</v>
      </c>
      <c r="P12" s="25">
        <f>'Demogr.trend alates 2012'!$E$16*O12</f>
        <v>435.66454547442538</v>
      </c>
      <c r="Q12" s="25">
        <f>'Demogr.trend alates 2012'!$E$17*P12</f>
        <v>430.60569879070169</v>
      </c>
      <c r="R12" s="25">
        <f>'Demogr.trend alates 2012'!$E$18*Q12</f>
        <v>425.4948063592031</v>
      </c>
      <c r="S12" s="25">
        <f>'Demogr.trend alates 2012'!$E$19*R12</f>
        <v>420.50882372236435</v>
      </c>
      <c r="T12" s="25">
        <f>'Demogr.trend alates 2012'!$E$19*S12</f>
        <v>415.58126723429007</v>
      </c>
      <c r="U12" s="25">
        <f>'Demogr.trend alates 2012'!$E$19*T12</f>
        <v>410.71145225263228</v>
      </c>
      <c r="V12" s="25">
        <f>'Demogr.trend alates 2012'!$E$19*U12</f>
        <v>405.8987021577376</v>
      </c>
      <c r="W12" s="16"/>
      <c r="X12" s="97"/>
    </row>
    <row r="13" spans="1:24" x14ac:dyDescent="0.25">
      <c r="A13" s="21" t="s">
        <v>132</v>
      </c>
      <c r="B13" s="21">
        <f>Rahvaloendus!C42</f>
        <v>145</v>
      </c>
      <c r="C13" s="25">
        <f>'Demogr.trend alates 2012'!$E$3*B13</f>
        <v>143.576968973747</v>
      </c>
      <c r="D13" s="25">
        <f>'Demogr.trend alates 2012'!$E$3*C13</f>
        <v>142.16790358405731</v>
      </c>
      <c r="E13" s="25">
        <f>'Demogr.trend alates 2012'!$E$3*D13</f>
        <v>140.77266677207484</v>
      </c>
      <c r="F13" s="25">
        <f>G13/'Demogr.trend alates 2012'!$D$7*'Demogr.trend alates 2012'!$D$6</f>
        <v>148.08524131295238</v>
      </c>
      <c r="G13" s="25">
        <f>H13/'Demogr.trend alates 2012'!$D$8*'Demogr.trend alates 2012'!$D$7</f>
        <v>146.55054779242931</v>
      </c>
      <c r="H13" s="109">
        <v>145</v>
      </c>
      <c r="I13" s="25">
        <f>'Demogr.trend alates 2012'!$E$9*H13</f>
        <v>143.45579391633319</v>
      </c>
      <c r="J13" s="25">
        <f>'Demogr.trend alates 2012'!$E$10*I13</f>
        <v>141.88305014323515</v>
      </c>
      <c r="K13" s="25">
        <f>'Demogr.trend alates 2012'!$E$11*J13</f>
        <v>140.33250235080584</v>
      </c>
      <c r="L13" s="25">
        <f>'Demogr.trend alates 2012'!$E$12*K13</f>
        <v>138.80097968466401</v>
      </c>
      <c r="M13" s="25">
        <f>'Demogr.trend alates 2012'!$E$13*L13</f>
        <v>137.28214043604717</v>
      </c>
      <c r="N13" s="25">
        <f>'Demogr.trend alates 2012'!$E$14*M13</f>
        <v>135.76964289619281</v>
      </c>
      <c r="O13" s="25">
        <f>'Demogr.trend alates 2012'!$E$15*N13</f>
        <v>134.24446193881346</v>
      </c>
      <c r="P13" s="25">
        <f>'Demogr.trend alates 2012'!$E$16*O13</f>
        <v>132.71293927267163</v>
      </c>
      <c r="Q13" s="25">
        <f>'Demogr.trend alates 2012'!$E$17*P13</f>
        <v>131.17190404338606</v>
      </c>
      <c r="R13" s="25">
        <f>'Demogr.trend alates 2012'!$E$18*Q13</f>
        <v>129.61501454219427</v>
      </c>
      <c r="S13" s="25">
        <f>'Demogr.trend alates 2012'!$E$19*R13</f>
        <v>128.09617529357743</v>
      </c>
      <c r="T13" s="25">
        <f>'Demogr.trend alates 2012'!$E$19*S13</f>
        <v>126.59513392641195</v>
      </c>
      <c r="U13" s="25">
        <f>'Demogr.trend alates 2012'!$E$19*T13</f>
        <v>125.11168188368006</v>
      </c>
      <c r="V13" s="25">
        <f>'Demogr.trend alates 2012'!$E$19*U13</f>
        <v>123.64561305225206</v>
      </c>
    </row>
    <row r="14" spans="1:24" x14ac:dyDescent="0.25">
      <c r="A14" s="21" t="s">
        <v>133</v>
      </c>
      <c r="B14" s="21">
        <f>Rahvaloendus!C45</f>
        <v>130</v>
      </c>
      <c r="C14" s="25">
        <f>'Demogr.trend alates 2012'!$E$3*B14</f>
        <v>128.72417907991112</v>
      </c>
      <c r="D14" s="25">
        <f>'Demogr.trend alates 2012'!$E$3*C14</f>
        <v>127.46087907536175</v>
      </c>
      <c r="E14" s="25">
        <f>'Demogr.trend alates 2012'!$E$3*D14</f>
        <v>126.20997710599816</v>
      </c>
      <c r="F14" s="25">
        <f>G14/'Demogr.trend alates 2012'!$D$7*'Demogr.trend alates 2012'!$D$6</f>
        <v>146.04268626035994</v>
      </c>
      <c r="G14" s="25">
        <f>H14/'Demogr.trend alates 2012'!$D$8*'Demogr.trend alates 2012'!$D$7</f>
        <v>144.52916092632682</v>
      </c>
      <c r="H14" s="109">
        <v>143</v>
      </c>
      <c r="I14" s="25">
        <f>'Demogr.trend alates 2012'!$E$9*H14</f>
        <v>141.47709331059065</v>
      </c>
      <c r="J14" s="25">
        <f>'Demogr.trend alates 2012'!$E$10*I14</f>
        <v>139.92604255505259</v>
      </c>
      <c r="K14" s="25">
        <f>'Demogr.trend alates 2012'!$E$11*J14</f>
        <v>138.39688162872574</v>
      </c>
      <c r="L14" s="25">
        <f>'Demogr.trend alates 2012'!$E$12*K14</f>
        <v>136.88648341315138</v>
      </c>
      <c r="M14" s="25">
        <f>'Demogr.trend alates 2012'!$E$13*L14</f>
        <v>135.38859367141202</v>
      </c>
      <c r="N14" s="25">
        <f>'Demogr.trend alates 2012'!$E$14*M14</f>
        <v>133.89695816659014</v>
      </c>
      <c r="O14" s="25">
        <f>'Demogr.trend alates 2012'!$E$15*N14</f>
        <v>132.39281418793325</v>
      </c>
      <c r="P14" s="25">
        <f>'Demogr.trend alates 2012'!$E$16*O14</f>
        <v>130.8824159723589</v>
      </c>
      <c r="Q14" s="25">
        <f>'Demogr.trend alates 2012'!$E$17*P14</f>
        <v>129.36263640140828</v>
      </c>
      <c r="R14" s="25">
        <f>'Demogr.trend alates 2012'!$E$18*Q14</f>
        <v>127.82722123816396</v>
      </c>
      <c r="S14" s="25">
        <f>'Demogr.trend alates 2012'!$E$19*R14</f>
        <v>126.32933149642459</v>
      </c>
      <c r="T14" s="25">
        <f>'Demogr.trend alates 2012'!$E$19*S14</f>
        <v>124.84899414811656</v>
      </c>
      <c r="U14" s="25">
        <f>'Demogr.trend alates 2012'!$E$19*T14</f>
        <v>123.38600351287063</v>
      </c>
      <c r="V14" s="25">
        <f>'Demogr.trend alates 2012'!$E$19*U14</f>
        <v>121.9401563204968</v>
      </c>
    </row>
    <row r="15" spans="1:24" x14ac:dyDescent="0.25">
      <c r="A15" s="21" t="s">
        <v>134</v>
      </c>
      <c r="B15" s="21">
        <f>Rahvaloendus!C47</f>
        <v>72</v>
      </c>
      <c r="C15" s="25">
        <f>'Demogr.trend alates 2012'!$E$3*B15</f>
        <v>71.293391490412304</v>
      </c>
      <c r="D15" s="25">
        <f>'Demogr.trend alates 2012'!$E$3*C15</f>
        <v>70.593717641738806</v>
      </c>
      <c r="E15" s="25">
        <f>'Demogr.trend alates 2012'!$E$3*D15</f>
        <v>69.900910397168204</v>
      </c>
      <c r="F15" s="25">
        <f>G15/'Demogr.trend alates 2012'!$D$7*'Demogr.trend alates 2012'!$D$6</f>
        <v>80.680924577401669</v>
      </c>
      <c r="G15" s="25">
        <f>H15/'Demogr.trend alates 2012'!$D$8*'Demogr.trend alates 2012'!$D$7</f>
        <v>79.844781211047703</v>
      </c>
      <c r="H15" s="109">
        <v>79</v>
      </c>
      <c r="I15" s="25">
        <f>'Demogr.trend alates 2012'!$E$9*H15</f>
        <v>78.158673926829806</v>
      </c>
      <c r="J15" s="25">
        <f>'Demogr.trend alates 2012'!$E$10*I15</f>
        <v>77.301799733210871</v>
      </c>
      <c r="K15" s="25">
        <f>'Demogr.trend alates 2012'!$E$11*J15</f>
        <v>76.457018522163168</v>
      </c>
      <c r="L15" s="25">
        <f>'Demogr.trend alates 2012'!$E$12*K15</f>
        <v>75.622602724747964</v>
      </c>
      <c r="M15" s="25">
        <f>'Demogr.trend alates 2012'!$E$13*L15</f>
        <v>74.795097203087749</v>
      </c>
      <c r="N15" s="25">
        <f>'Demogr.trend alates 2012'!$E$14*M15</f>
        <v>73.97104681930503</v>
      </c>
      <c r="O15" s="25">
        <f>'Demogr.trend alates 2012'!$E$15*N15</f>
        <v>73.140086159767321</v>
      </c>
      <c r="P15" s="25">
        <f>'Demogr.trend alates 2012'!$E$16*O15</f>
        <v>72.305670362352117</v>
      </c>
      <c r="Q15" s="25">
        <f>'Demogr.trend alates 2012'!$E$17*P15</f>
        <v>71.466071858120671</v>
      </c>
      <c r="R15" s="25">
        <f>'Demogr.trend alates 2012'!$E$18*Q15</f>
        <v>70.617835509195487</v>
      </c>
      <c r="S15" s="25">
        <f>'Demogr.trend alates 2012'!$E$19*R15</f>
        <v>69.790329987535273</v>
      </c>
      <c r="T15" s="25">
        <f>'Demogr.trend alates 2012'!$E$19*S15</f>
        <v>68.972521242665806</v>
      </c>
      <c r="U15" s="25">
        <f>'Demogr.trend alates 2012'!$E$19*T15</f>
        <v>68.164295646970501</v>
      </c>
      <c r="V15" s="25">
        <f>'Demogr.trend alates 2012'!$E$19*U15</f>
        <v>67.365540904330416</v>
      </c>
    </row>
    <row r="16" spans="1:24" x14ac:dyDescent="0.25">
      <c r="A16" s="21" t="s">
        <v>136</v>
      </c>
      <c r="B16" s="21">
        <f>Rahvaloendus!C58</f>
        <v>217</v>
      </c>
      <c r="C16" s="25">
        <f>'Demogr.trend alates 2012'!$E$3*B16</f>
        <v>214.87036046415932</v>
      </c>
      <c r="D16" s="25">
        <f>'Demogr.trend alates 2012'!$E$3*C16</f>
        <v>212.76162122579612</v>
      </c>
      <c r="E16" s="25">
        <f>'Demogr.trend alates 2012'!$E$3*D16</f>
        <v>210.67357716924306</v>
      </c>
      <c r="F16" s="25">
        <f>G16/'Demogr.trend alates 2012'!$D$7*'Demogr.trend alates 2012'!$D$6</f>
        <v>206.29806031183713</v>
      </c>
      <c r="G16" s="25">
        <f>H16/'Demogr.trend alates 2012'!$D$8*'Demogr.trend alates 2012'!$D$7</f>
        <v>204.16007347634982</v>
      </c>
      <c r="H16" s="109">
        <v>202</v>
      </c>
      <c r="I16" s="25">
        <f>'Demogr.trend alates 2012'!$E$9*H16</f>
        <v>199.84876117999519</v>
      </c>
      <c r="J16" s="25">
        <f>'Demogr.trend alates 2012'!$E$10*I16</f>
        <v>197.65776640643793</v>
      </c>
      <c r="K16" s="25">
        <f>'Demogr.trend alates 2012'!$E$11*J16</f>
        <v>195.49769293008814</v>
      </c>
      <c r="L16" s="25">
        <f>'Demogr.trend alates 2012'!$E$12*K16</f>
        <v>193.3641234227733</v>
      </c>
      <c r="M16" s="25">
        <f>'Demogr.trend alates 2012'!$E$13*L16</f>
        <v>191.24822322814845</v>
      </c>
      <c r="N16" s="25">
        <f>'Demogr.trend alates 2012'!$E$14*M16</f>
        <v>189.14115768986858</v>
      </c>
      <c r="O16" s="25">
        <f>'Demogr.trend alates 2012'!$E$15*N16</f>
        <v>187.01642283889873</v>
      </c>
      <c r="P16" s="25">
        <f>'Demogr.trend alates 2012'!$E$16*O16</f>
        <v>184.8828533315839</v>
      </c>
      <c r="Q16" s="25">
        <f>'Demogr.trend alates 2012'!$E$17*P16</f>
        <v>182.73603183975158</v>
      </c>
      <c r="R16" s="25">
        <f>'Demogr.trend alates 2012'!$E$18*Q16</f>
        <v>180.56712370705679</v>
      </c>
      <c r="S16" s="25">
        <f>'Demogr.trend alates 2012'!$E$19*R16</f>
        <v>178.45122351243194</v>
      </c>
      <c r="T16" s="25">
        <f>'Demogr.trend alates 2012'!$E$19*S16</f>
        <v>176.36011760782898</v>
      </c>
      <c r="U16" s="25">
        <f>'Demogr.trend alates 2012'!$E$19*T16</f>
        <v>174.29351545174731</v>
      </c>
      <c r="V16" s="25">
        <f>'Demogr.trend alates 2012'!$E$19*U16</f>
        <v>172.25112990727519</v>
      </c>
    </row>
    <row r="17" spans="1:24" x14ac:dyDescent="0.25">
      <c r="A17" s="21" t="s">
        <v>137</v>
      </c>
      <c r="B17" s="21">
        <f>Rahvaloendus!C62</f>
        <v>295</v>
      </c>
      <c r="C17" s="25">
        <f>'Demogr.trend alates 2012'!$E$3*B17</f>
        <v>292.10486791210599</v>
      </c>
      <c r="D17" s="25">
        <f>'Demogr.trend alates 2012'!$E$3*C17</f>
        <v>289.23814867101316</v>
      </c>
      <c r="E17" s="25">
        <f>'Demogr.trend alates 2012'!$E$3*D17</f>
        <v>286.39956343284194</v>
      </c>
      <c r="F17" s="25">
        <f>G17/'Demogr.trend alates 2012'!$D$7*'Demogr.trend alates 2012'!$D$6</f>
        <v>302.29814778368211</v>
      </c>
      <c r="G17" s="25">
        <f>H17/'Demogr.trend alates 2012'!$D$8*'Demogr.trend alates 2012'!$D$7</f>
        <v>299.16525618316604</v>
      </c>
      <c r="H17" s="109">
        <v>296</v>
      </c>
      <c r="I17" s="25">
        <f>'Demogr.trend alates 2012'!$E$9*H17</f>
        <v>292.84768964989394</v>
      </c>
      <c r="J17" s="25">
        <f>'Demogr.trend alates 2012'!$E$10*I17</f>
        <v>289.63712305101797</v>
      </c>
      <c r="K17" s="25">
        <f>'Demogr.trend alates 2012'!$E$11*J17</f>
        <v>286.47186686785193</v>
      </c>
      <c r="L17" s="25">
        <f>'Demogr.trend alates 2012'!$E$12*K17</f>
        <v>283.34544818386587</v>
      </c>
      <c r="M17" s="25">
        <f>'Demogr.trend alates 2012'!$E$13*L17</f>
        <v>280.24492116599976</v>
      </c>
      <c r="N17" s="25">
        <f>'Demogr.trend alates 2012'!$E$14*M17</f>
        <v>277.15733998119362</v>
      </c>
      <c r="O17" s="25">
        <f>'Demogr.trend alates 2012'!$E$15*N17</f>
        <v>274.04386713026747</v>
      </c>
      <c r="P17" s="25">
        <f>'Demogr.trend alates 2012'!$E$16*O17</f>
        <v>270.91744844628141</v>
      </c>
      <c r="Q17" s="25">
        <f>'Demogr.trend alates 2012'!$E$17*P17</f>
        <v>267.77161101270531</v>
      </c>
      <c r="R17" s="25">
        <f>'Demogr.trend alates 2012'!$E$18*Q17</f>
        <v>264.5934089964793</v>
      </c>
      <c r="S17" s="25">
        <f>'Demogr.trend alates 2012'!$E$19*R17</f>
        <v>261.49288197861318</v>
      </c>
      <c r="T17" s="25">
        <f>'Demogr.trend alates 2012'!$E$19*S17</f>
        <v>258.42868718770984</v>
      </c>
      <c r="U17" s="25">
        <f>'Demogr.trend alates 2012'!$E$19*T17</f>
        <v>255.40039887978821</v>
      </c>
      <c r="V17" s="25">
        <f>'Demogr.trend alates 2012'!$E$19*U17</f>
        <v>252.40759629976966</v>
      </c>
      <c r="W17" s="16"/>
      <c r="X17" s="97"/>
    </row>
    <row r="18" spans="1:24" x14ac:dyDescent="0.25">
      <c r="A18" s="21" t="s">
        <v>251</v>
      </c>
      <c r="B18" s="21"/>
      <c r="C18" s="25"/>
      <c r="D18" s="25"/>
      <c r="E18" s="25"/>
      <c r="F18" s="25">
        <f>G18/'Demogr.trend alates 2012'!$D$7*'Demogr.trend alates 2012'!$D$6</f>
        <v>229.78744341665026</v>
      </c>
      <c r="G18" s="25">
        <f>H18/'Demogr.trend alates 2012'!$D$8*'Demogr.trend alates 2012'!$D$7</f>
        <v>227.40602243652825</v>
      </c>
      <c r="H18" s="109">
        <v>225</v>
      </c>
      <c r="I18" s="25">
        <f>'Demogr.trend alates 2012'!$E$9*H18</f>
        <v>222.60381814603426</v>
      </c>
      <c r="J18" s="25">
        <f>'Demogr.trend alates 2012'!$E$10*I18</f>
        <v>220.1633536705373</v>
      </c>
      <c r="K18" s="25">
        <f>'Demogr.trend alates 2012'!$E$11*J18</f>
        <v>217.75733123400906</v>
      </c>
      <c r="L18" s="25">
        <f>'Demogr.trend alates 2012'!$E$12*K18</f>
        <v>215.38083054516829</v>
      </c>
      <c r="M18" s="25">
        <f>'Demogr.trend alates 2012'!$E$13*L18</f>
        <v>213.02401102145251</v>
      </c>
      <c r="N18" s="25">
        <f>'Demogr.trend alates 2012'!$E$14*M18</f>
        <v>210.6770320802992</v>
      </c>
      <c r="O18" s="25">
        <f>'Demogr.trend alates 2012'!$E$15*N18</f>
        <v>208.31037197402091</v>
      </c>
      <c r="P18" s="25">
        <f>'Demogr.trend alates 2012'!$E$16*O18</f>
        <v>205.93387128518015</v>
      </c>
      <c r="Q18" s="25">
        <f>'Demogr.trend alates 2012'!$E$17*P18</f>
        <v>203.54260972249563</v>
      </c>
      <c r="R18" s="25">
        <f>'Demogr.trend alates 2012'!$E$18*Q18</f>
        <v>201.1267467034049</v>
      </c>
      <c r="S18" s="25">
        <f>'Demogr.trend alates 2012'!$E$19*R18</f>
        <v>198.76992717968909</v>
      </c>
      <c r="T18" s="25">
        <f>'Demogr.trend alates 2012'!$E$19*S18</f>
        <v>196.44072505822541</v>
      </c>
      <c r="U18" s="25">
        <f>'Demogr.trend alates 2012'!$E$19*T18</f>
        <v>194.13881671605526</v>
      </c>
      <c r="V18" s="25">
        <f>'Demogr.trend alates 2012'!$E$19*U18</f>
        <v>191.86388232246009</v>
      </c>
    </row>
    <row r="19" spans="1:24" x14ac:dyDescent="0.25">
      <c r="A19" s="21" t="s">
        <v>252</v>
      </c>
      <c r="B19" s="21"/>
      <c r="C19" s="25"/>
      <c r="D19" s="25"/>
      <c r="E19" s="25"/>
      <c r="F19" s="25">
        <f>G19/'Demogr.trend alates 2012'!$D$7*'Demogr.trend alates 2012'!$D$6</f>
        <v>843.57523672068055</v>
      </c>
      <c r="G19" s="25">
        <f>H19/'Demogr.trend alates 2012'!$D$8*'Demogr.trend alates 2012'!$D$7</f>
        <v>834.83277570032146</v>
      </c>
      <c r="H19" s="109">
        <v>826</v>
      </c>
      <c r="I19" s="25">
        <f>'Demogr.trend alates 2012'!$E$9*H19</f>
        <v>817.20335017166349</v>
      </c>
      <c r="J19" s="25">
        <f>'Demogr.trend alates 2012'!$E$10*I19</f>
        <v>808.2441339193947</v>
      </c>
      <c r="K19" s="25">
        <f>'Demogr.trend alates 2012'!$E$11*J19</f>
        <v>799.41135821907324</v>
      </c>
      <c r="L19" s="25">
        <f>'Demogr.trend alates 2012'!$E$12*K19</f>
        <v>790.68696013470662</v>
      </c>
      <c r="M19" s="25">
        <f>'Demogr.trend alates 2012'!$E$13*L19</f>
        <v>782.03481379431003</v>
      </c>
      <c r="N19" s="25">
        <f>'Demogr.trend alates 2012'!$E$14*M19</f>
        <v>773.41879332589826</v>
      </c>
      <c r="O19" s="25">
        <f>'Demogr.trend alates 2012'!$E$15*N19</f>
        <v>764.7305211135166</v>
      </c>
      <c r="P19" s="25">
        <f>'Demogr.trend alates 2012'!$E$16*O19</f>
        <v>756.00612302914999</v>
      </c>
      <c r="Q19" s="25">
        <f>'Demogr.trend alates 2012'!$E$17*P19</f>
        <v>747.22753613680595</v>
      </c>
      <c r="R19" s="25">
        <f>'Demogr.trend alates 2012'!$E$18*Q19</f>
        <v>738.35863456449954</v>
      </c>
      <c r="S19" s="25">
        <f>'Demogr.trend alates 2012'!$E$19*R19</f>
        <v>729.70648822410283</v>
      </c>
      <c r="T19" s="25">
        <f>'Demogr.trend alates 2012'!$E$19*S19</f>
        <v>721.15572843597397</v>
      </c>
      <c r="U19" s="25">
        <f>'Demogr.trend alates 2012'!$E$19*T19</f>
        <v>712.70516714427367</v>
      </c>
      <c r="V19" s="25">
        <f>'Demogr.trend alates 2012'!$E$19*U19</f>
        <v>704.35363021489763</v>
      </c>
      <c r="W19" s="16"/>
      <c r="X19" s="97"/>
    </row>
    <row r="20" spans="1:24" x14ac:dyDescent="0.25">
      <c r="A20" s="21" t="s">
        <v>249</v>
      </c>
      <c r="B20" s="21"/>
      <c r="C20" s="25"/>
      <c r="D20" s="25"/>
      <c r="E20" s="25"/>
      <c r="F20" s="25">
        <f>G20/'Demogr.trend alates 2012'!$D$7*'Demogr.trend alates 2012'!$D$6</f>
        <v>238.97894115331627</v>
      </c>
      <c r="G20" s="25">
        <f>H20/'Demogr.trend alates 2012'!$D$8*'Demogr.trend alates 2012'!$D$7</f>
        <v>236.50226333398936</v>
      </c>
      <c r="H20" s="109">
        <v>234</v>
      </c>
      <c r="I20" s="25">
        <f>'Demogr.trend alates 2012'!$E$9*H20</f>
        <v>231.50797087187561</v>
      </c>
      <c r="J20" s="25">
        <f>'Demogr.trend alates 2012'!$E$10*I20</f>
        <v>228.9698878173588</v>
      </c>
      <c r="K20" s="25">
        <f>'Demogr.trend alates 2012'!$E$11*J20</f>
        <v>226.46762448336941</v>
      </c>
      <c r="L20" s="25">
        <f>'Demogr.trend alates 2012'!$E$12*K20</f>
        <v>223.996063766975</v>
      </c>
      <c r="M20" s="25">
        <f>'Demogr.trend alates 2012'!$E$13*L20</f>
        <v>221.54497146231057</v>
      </c>
      <c r="N20" s="25">
        <f>'Demogr.trend alates 2012'!$E$14*M20</f>
        <v>219.10411336351112</v>
      </c>
      <c r="O20" s="25">
        <f>'Demogr.trend alates 2012'!$E$15*N20</f>
        <v>216.64278685298169</v>
      </c>
      <c r="P20" s="25">
        <f>'Demogr.trend alates 2012'!$E$16*O20</f>
        <v>214.17122613658728</v>
      </c>
      <c r="Q20" s="25">
        <f>'Demogr.trend alates 2012'!$E$17*P20</f>
        <v>211.68431411139537</v>
      </c>
      <c r="R20" s="25">
        <f>'Demogr.trend alates 2012'!$E$18*Q20</f>
        <v>209.17181657154103</v>
      </c>
      <c r="S20" s="25">
        <f>'Demogr.trend alates 2012'!$E$19*R20</f>
        <v>206.7207242668766</v>
      </c>
      <c r="T20" s="25">
        <f>'Demogr.trend alates 2012'!$E$19*S20</f>
        <v>204.29835406055437</v>
      </c>
      <c r="U20" s="25">
        <f>'Demogr.trend alates 2012'!$E$19*T20</f>
        <v>201.90436938469739</v>
      </c>
      <c r="V20" s="25">
        <f>'Demogr.trend alates 2012'!$E$19*U20</f>
        <v>199.53843761535839</v>
      </c>
    </row>
    <row r="21" spans="1:24" x14ac:dyDescent="0.25">
      <c r="A21" s="21" t="s">
        <v>250</v>
      </c>
      <c r="B21" s="21"/>
      <c r="C21" s="25"/>
      <c r="D21" s="25"/>
      <c r="E21" s="25"/>
      <c r="F21" s="25">
        <f>G21/'Demogr.trend alates 2012'!$D$7*'Demogr.trend alates 2012'!$D$6</f>
        <v>213.44700299591071</v>
      </c>
      <c r="G21" s="25">
        <f>H21/'Demogr.trend alates 2012'!$D$8*'Demogr.trend alates 2012'!$D$7</f>
        <v>211.23492750770848</v>
      </c>
      <c r="H21" s="109">
        <v>209</v>
      </c>
      <c r="I21" s="25">
        <f>'Demogr.trend alates 2012'!$E$9*H21</f>
        <v>206.77421330009403</v>
      </c>
      <c r="J21" s="25">
        <f>'Demogr.trend alates 2012'!$E$10*I21</f>
        <v>204.50729296507686</v>
      </c>
      <c r="K21" s="25">
        <f>'Demogr.trend alates 2012'!$E$11*J21</f>
        <v>202.27236545736841</v>
      </c>
      <c r="L21" s="25">
        <f>'Demogr.trend alates 2012'!$E$12*K21</f>
        <v>200.06486037306743</v>
      </c>
      <c r="M21" s="25">
        <f>'Demogr.trend alates 2012'!$E$13*L21</f>
        <v>197.87563690437142</v>
      </c>
      <c r="N21" s="25">
        <f>'Demogr.trend alates 2012'!$E$14*M21</f>
        <v>195.69555424347789</v>
      </c>
      <c r="O21" s="25">
        <f>'Demogr.trend alates 2012'!$E$15*N21</f>
        <v>193.49718996697936</v>
      </c>
      <c r="P21" s="25">
        <f>'Demogr.trend alates 2012'!$E$16*O21</f>
        <v>191.28968488267839</v>
      </c>
      <c r="Q21" s="25">
        <f>'Demogr.trend alates 2012'!$E$17*P21</f>
        <v>189.06846858667365</v>
      </c>
      <c r="R21" s="25">
        <f>'Demogr.trend alates 2012'!$E$18*Q21</f>
        <v>186.82440027116272</v>
      </c>
      <c r="S21" s="25">
        <f>'Demogr.trend alates 2012'!$E$19*R21</f>
        <v>184.6351768024667</v>
      </c>
      <c r="T21" s="25">
        <f>'Demogr.trend alates 2012'!$E$19*S21</f>
        <v>182.47160683186266</v>
      </c>
      <c r="U21" s="25">
        <f>'Demogr.trend alates 2012'!$E$19*T21</f>
        <v>180.33338974958016</v>
      </c>
      <c r="V21" s="25">
        <f>'Demogr.trend alates 2012'!$E$19*U21</f>
        <v>178.22022846841841</v>
      </c>
    </row>
    <row r="22" spans="1:24" x14ac:dyDescent="0.25">
      <c r="A22" s="21" t="s">
        <v>138</v>
      </c>
      <c r="B22" s="21">
        <f>Rahvaloendus!C77</f>
        <v>86</v>
      </c>
      <c r="C22" s="25">
        <f>'Demogr.trend alates 2012'!$E$3*B22</f>
        <v>85.155995391325817</v>
      </c>
      <c r="D22" s="25">
        <f>'Demogr.trend alates 2012'!$E$3*C22</f>
        <v>84.320273849854686</v>
      </c>
      <c r="E22" s="25">
        <f>'Demogr.trend alates 2012'!$E$3*D22</f>
        <v>83.492754085506462</v>
      </c>
      <c r="F22" s="25">
        <f>G22/'Demogr.trend alates 2012'!$D$7*'Demogr.trend alates 2012'!$D$6</f>
        <v>100.08519757702989</v>
      </c>
      <c r="G22" s="25">
        <f>H22/'Demogr.trend alates 2012'!$D$8*'Demogr.trend alates 2012'!$D$7</f>
        <v>99.047956439021178</v>
      </c>
      <c r="H22" s="109">
        <v>98</v>
      </c>
      <c r="I22" s="25">
        <f>'Demogr.trend alates 2012'!$E$9*H22</f>
        <v>96.956329681383806</v>
      </c>
      <c r="J22" s="25">
        <f>'Demogr.trend alates 2012'!$E$10*I22</f>
        <v>95.893371820945134</v>
      </c>
      <c r="K22" s="25">
        <f>'Demogr.trend alates 2012'!$E$11*J22</f>
        <v>94.845415381923942</v>
      </c>
      <c r="L22" s="25">
        <f>'Demogr.trend alates 2012'!$E$12*K22</f>
        <v>93.810317304117731</v>
      </c>
      <c r="M22" s="25">
        <f>'Demogr.trend alates 2012'!$E$13*L22</f>
        <v>92.783791467121517</v>
      </c>
      <c r="N22" s="25">
        <f>'Demogr.trend alates 2012'!$E$14*M22</f>
        <v>91.761551750530288</v>
      </c>
      <c r="O22" s="25">
        <f>'Demogr.trend alates 2012'!$E$15*N22</f>
        <v>90.730739793129075</v>
      </c>
      <c r="P22" s="25">
        <f>'Demogr.trend alates 2012'!$E$16*O22</f>
        <v>89.695641715322864</v>
      </c>
      <c r="Q22" s="25">
        <f>'Demogr.trend alates 2012'!$E$17*P22</f>
        <v>88.654114456909156</v>
      </c>
      <c r="R22" s="25">
        <f>'Demogr.trend alates 2012'!$E$18*Q22</f>
        <v>87.60187189748298</v>
      </c>
      <c r="S22" s="25">
        <f>'Demogr.trend alates 2012'!$E$19*R22</f>
        <v>86.575346060486766</v>
      </c>
      <c r="T22" s="25">
        <f>'Demogr.trend alates 2012'!$E$19*S22</f>
        <v>85.560849136471475</v>
      </c>
      <c r="U22" s="25">
        <f>'Demogr.trend alates 2012'!$E$19*T22</f>
        <v>84.558240169659584</v>
      </c>
      <c r="V22" s="25">
        <f>'Demogr.trend alates 2012'!$E$19*U22</f>
        <v>83.567379856004791</v>
      </c>
    </row>
    <row r="23" spans="1:24" x14ac:dyDescent="0.25">
      <c r="A23" s="21" t="s">
        <v>139</v>
      </c>
      <c r="B23" s="21">
        <f>Rahvaloendus!C81</f>
        <v>44</v>
      </c>
      <c r="C23" s="25">
        <f>'Demogr.trend alates 2012'!$E$3*B23</f>
        <v>43.5681836885853</v>
      </c>
      <c r="D23" s="25">
        <f>'Demogr.trend alates 2012'!$E$3*C23</f>
        <v>43.140605225507052</v>
      </c>
      <c r="E23" s="25">
        <f>'Demogr.trend alates 2012'!$E$3*D23</f>
        <v>42.717223020491687</v>
      </c>
      <c r="F23" s="25">
        <f>G23/'Demogr.trend alates 2012'!$D$7*'Demogr.trend alates 2012'!$D$6</f>
        <v>44.936211157033831</v>
      </c>
      <c r="G23" s="25">
        <f>H23/'Demogr.trend alates 2012'!$D$8*'Demogr.trend alates 2012'!$D$7</f>
        <v>44.470511054254409</v>
      </c>
      <c r="H23" s="109">
        <v>44</v>
      </c>
      <c r="I23" s="25">
        <f>'Demogr.trend alates 2012'!$E$9*H23</f>
        <v>43.531413326335588</v>
      </c>
      <c r="J23" s="25">
        <f>'Demogr.trend alates 2012'!$E$10*I23</f>
        <v>43.054166940016188</v>
      </c>
      <c r="K23" s="25">
        <f>'Demogr.trend alates 2012'!$E$11*J23</f>
        <v>42.583655885761772</v>
      </c>
      <c r="L23" s="25">
        <f>'Demogr.trend alates 2012'!$E$12*K23</f>
        <v>42.118917973277355</v>
      </c>
      <c r="M23" s="25">
        <f>'Demogr.trend alates 2012'!$E$13*L23</f>
        <v>41.658028821972934</v>
      </c>
      <c r="N23" s="25">
        <f>'Demogr.trend alates 2012'!$E$14*M23</f>
        <v>41.199064051258503</v>
      </c>
      <c r="O23" s="25">
        <f>'Demogr.trend alates 2012'!$E$15*N23</f>
        <v>40.736250519364077</v>
      </c>
      <c r="P23" s="25">
        <f>'Demogr.trend alates 2012'!$E$16*O23</f>
        <v>40.271512606879661</v>
      </c>
      <c r="Q23" s="25">
        <f>'Demogr.trend alates 2012'!$E$17*P23</f>
        <v>39.803888123510241</v>
      </c>
      <c r="R23" s="25">
        <f>'Demogr.trend alates 2012'!$E$18*Q23</f>
        <v>39.331452688665834</v>
      </c>
      <c r="S23" s="25">
        <f>'Demogr.trend alates 2012'!$E$19*R23</f>
        <v>38.870563537361413</v>
      </c>
      <c r="T23" s="25">
        <f>'Demogr.trend alates 2012'!$E$19*S23</f>
        <v>38.415075122497406</v>
      </c>
      <c r="U23" s="25">
        <f>'Demogr.trend alates 2012'!$E$19*T23</f>
        <v>37.964924157806351</v>
      </c>
      <c r="V23" s="25">
        <f>'Demogr.trend alates 2012'!$E$19*U23</f>
        <v>37.520048098614403</v>
      </c>
    </row>
    <row r="24" spans="1:24" x14ac:dyDescent="0.25">
      <c r="A24" s="21" t="s">
        <v>140</v>
      </c>
      <c r="B24" s="21">
        <f>Rahvaloendus!C84</f>
        <v>120</v>
      </c>
      <c r="C24" s="25">
        <f>'Demogr.trend alates 2012'!$E$3*B24</f>
        <v>118.82231915068718</v>
      </c>
      <c r="D24" s="25">
        <f>'Demogr.trend alates 2012'!$E$3*C24</f>
        <v>117.65619606956467</v>
      </c>
      <c r="E24" s="25">
        <f>'Demogr.trend alates 2012'!$E$3*D24</f>
        <v>116.50151732861367</v>
      </c>
      <c r="F24" s="25">
        <f>G24/'Demogr.trend alates 2012'!$D$7*'Demogr.trend alates 2012'!$D$6</f>
        <v>153.19162894443352</v>
      </c>
      <c r="G24" s="25">
        <f>H24/'Demogr.trend alates 2012'!$D$8*'Demogr.trend alates 2012'!$D$7</f>
        <v>151.60401495768548</v>
      </c>
      <c r="H24" s="109">
        <v>150</v>
      </c>
      <c r="I24" s="25">
        <f>'Demogr.trend alates 2012'!$E$9*H24</f>
        <v>148.40254543068951</v>
      </c>
      <c r="J24" s="25">
        <f>'Demogr.trend alates 2012'!$E$10*I24</f>
        <v>146.77556911369155</v>
      </c>
      <c r="K24" s="25">
        <f>'Demogr.trend alates 2012'!$E$11*J24</f>
        <v>145.17155415600604</v>
      </c>
      <c r="L24" s="25">
        <f>'Demogr.trend alates 2012'!$E$12*K24</f>
        <v>143.58722036344551</v>
      </c>
      <c r="M24" s="25">
        <f>'Demogr.trend alates 2012'!$E$13*L24</f>
        <v>142.01600734763497</v>
      </c>
      <c r="N24" s="25">
        <f>'Demogr.trend alates 2012'!$E$14*M24</f>
        <v>140.45135472019942</v>
      </c>
      <c r="O24" s="25">
        <f>'Demogr.trend alates 2012'!$E$15*N24</f>
        <v>138.87358131601388</v>
      </c>
      <c r="P24" s="25">
        <f>'Demogr.trend alates 2012'!$E$16*O24</f>
        <v>137.28924752345335</v>
      </c>
      <c r="Q24" s="25">
        <f>'Demogr.trend alates 2012'!$E$17*P24</f>
        <v>135.69507314833035</v>
      </c>
      <c r="R24" s="25">
        <f>'Demogr.trend alates 2012'!$E$18*Q24</f>
        <v>134.08449780226988</v>
      </c>
      <c r="S24" s="25">
        <f>'Demogr.trend alates 2012'!$E$19*R24</f>
        <v>132.51328478645934</v>
      </c>
      <c r="T24" s="25">
        <f>'Demogr.trend alates 2012'!$E$19*S24</f>
        <v>130.96048337215021</v>
      </c>
      <c r="U24" s="25">
        <f>'Demogr.trend alates 2012'!$E$19*T24</f>
        <v>129.42587781070344</v>
      </c>
      <c r="V24" s="25">
        <f>'Demogr.trend alates 2012'!$E$19*U24</f>
        <v>127.90925488163998</v>
      </c>
    </row>
    <row r="25" spans="1:24" x14ac:dyDescent="0.25">
      <c r="A25" s="21" t="s">
        <v>141</v>
      </c>
      <c r="B25" s="21">
        <f>Rahvaloendus!C92</f>
        <v>54</v>
      </c>
      <c r="C25" s="25">
        <f>'Demogr.trend alates 2012'!$E$3*B25</f>
        <v>53.470043617809232</v>
      </c>
      <c r="D25" s="25">
        <f>'Demogr.trend alates 2012'!$E$3*C25</f>
        <v>52.945288231304104</v>
      </c>
      <c r="E25" s="25">
        <f>'Demogr.trend alates 2012'!$E$3*D25</f>
        <v>52.425682797876149</v>
      </c>
      <c r="F25" s="25">
        <f>G25/'Demogr.trend alates 2012'!$D$7*'Demogr.trend alates 2012'!$D$6</f>
        <v>61.276651577773407</v>
      </c>
      <c r="G25" s="25">
        <f>H25/'Demogr.trend alates 2012'!$D$8*'Demogr.trend alates 2012'!$D$7</f>
        <v>60.6416059830742</v>
      </c>
      <c r="H25" s="109">
        <v>60</v>
      </c>
      <c r="I25" s="25">
        <f>'Demogr.trend alates 2012'!$E$9*H25</f>
        <v>59.361018172275799</v>
      </c>
      <c r="J25" s="25">
        <f>'Demogr.trend alates 2012'!$E$10*I25</f>
        <v>58.710227645476614</v>
      </c>
      <c r="K25" s="25">
        <f>'Demogr.trend alates 2012'!$E$11*J25</f>
        <v>58.068621662402414</v>
      </c>
      <c r="L25" s="25">
        <f>'Demogr.trend alates 2012'!$E$12*K25</f>
        <v>57.43488814537821</v>
      </c>
      <c r="M25" s="25">
        <f>'Demogr.trend alates 2012'!$E$13*L25</f>
        <v>56.806402939053996</v>
      </c>
      <c r="N25" s="25">
        <f>'Demogr.trend alates 2012'!$E$14*M25</f>
        <v>56.180541888079773</v>
      </c>
      <c r="O25" s="25">
        <f>'Demogr.trend alates 2012'!$E$15*N25</f>
        <v>55.54943252640556</v>
      </c>
      <c r="P25" s="25">
        <f>'Demogr.trend alates 2012'!$E$16*O25</f>
        <v>54.915699009381356</v>
      </c>
      <c r="Q25" s="25">
        <f>'Demogr.trend alates 2012'!$E$17*P25</f>
        <v>54.278029259332151</v>
      </c>
      <c r="R25" s="25">
        <f>'Demogr.trend alates 2012'!$E$18*Q25</f>
        <v>53.633799120907959</v>
      </c>
      <c r="S25" s="25">
        <f>'Demogr.trend alates 2012'!$E$19*R25</f>
        <v>53.005313914583745</v>
      </c>
      <c r="T25" s="25">
        <f>'Demogr.trend alates 2012'!$E$19*S25</f>
        <v>52.384193348860094</v>
      </c>
      <c r="U25" s="25">
        <f>'Demogr.trend alates 2012'!$E$19*T25</f>
        <v>51.770351124281383</v>
      </c>
      <c r="V25" s="25">
        <f>'Demogr.trend alates 2012'!$E$19*U25</f>
        <v>51.163701952655998</v>
      </c>
    </row>
    <row r="26" spans="1:24" x14ac:dyDescent="0.25">
      <c r="A26" s="21" t="s">
        <v>122</v>
      </c>
      <c r="B26" s="21">
        <f t="shared" ref="B26:S26" si="4">SUM(B3:B25)</f>
        <v>3635</v>
      </c>
      <c r="C26" s="25">
        <f t="shared" si="4"/>
        <v>3599.3260842728987</v>
      </c>
      <c r="D26" s="25">
        <f t="shared" si="4"/>
        <v>3564.0022726072307</v>
      </c>
      <c r="E26" s="25">
        <f t="shared" si="4"/>
        <v>3529.0251290792557</v>
      </c>
      <c r="F26" s="25">
        <f t="shared" si="4"/>
        <v>5350.4729602659145</v>
      </c>
      <c r="G26" s="25">
        <f t="shared" si="4"/>
        <v>5295.02289575543</v>
      </c>
      <c r="H26" s="25">
        <f t="shared" si="4"/>
        <v>5239</v>
      </c>
      <c r="I26" s="25">
        <f t="shared" si="4"/>
        <v>5183.2062367425488</v>
      </c>
      <c r="J26" s="25">
        <f t="shared" si="4"/>
        <v>5126.3813772441999</v>
      </c>
      <c r="K26" s="25">
        <f t="shared" si="4"/>
        <v>5070.3584814887708</v>
      </c>
      <c r="L26" s="25">
        <f t="shared" si="4"/>
        <v>5015.0229832272744</v>
      </c>
      <c r="M26" s="25">
        <f t="shared" si="4"/>
        <v>4960.1457499617327</v>
      </c>
      <c r="N26" s="25">
        <f t="shared" si="4"/>
        <v>4905.4976491941661</v>
      </c>
      <c r="O26" s="25">
        <f t="shared" si="4"/>
        <v>4850.3912834306448</v>
      </c>
      <c r="P26" s="25">
        <f t="shared" si="4"/>
        <v>4795.0557851691492</v>
      </c>
      <c r="Q26" s="25">
        <f t="shared" si="4"/>
        <v>4739.376588160686</v>
      </c>
      <c r="R26" s="25">
        <f t="shared" si="4"/>
        <v>4683.1245599072809</v>
      </c>
      <c r="S26" s="25">
        <f t="shared" si="4"/>
        <v>4628.2473266417383</v>
      </c>
      <c r="T26" s="25">
        <f t="shared" ref="T26:V26" si="5">SUM(T3:T25)</f>
        <v>4574.0131492446344</v>
      </c>
      <c r="U26" s="25">
        <f t="shared" si="5"/>
        <v>4520.4144923351687</v>
      </c>
      <c r="V26" s="25">
        <f t="shared" si="5"/>
        <v>4467.4439088327463</v>
      </c>
      <c r="W26" s="16"/>
      <c r="X26" s="98"/>
    </row>
    <row r="28" spans="1:24" x14ac:dyDescent="0.25">
      <c r="A28" s="27" t="s">
        <v>156</v>
      </c>
    </row>
    <row r="29" spans="1:24" x14ac:dyDescent="0.25">
      <c r="A29" s="26" t="s">
        <v>88</v>
      </c>
      <c r="B29" s="26">
        <v>2012</v>
      </c>
      <c r="C29" s="26">
        <f>B29+1</f>
        <v>2013</v>
      </c>
      <c r="D29" s="26">
        <f t="shared" ref="D29" si="6">C29+1</f>
        <v>2014</v>
      </c>
      <c r="E29" s="26">
        <f t="shared" ref="E29" si="7">D29+1</f>
        <v>2015</v>
      </c>
      <c r="F29" s="26">
        <f t="shared" ref="F29" si="8">E29+1</f>
        <v>2016</v>
      </c>
      <c r="G29" s="26">
        <f t="shared" ref="G29" si="9">F29+1</f>
        <v>2017</v>
      </c>
      <c r="H29" s="26">
        <f t="shared" ref="H29" si="10">G29+1</f>
        <v>2018</v>
      </c>
      <c r="I29" s="26">
        <f t="shared" ref="I29" si="11">H29+1</f>
        <v>2019</v>
      </c>
      <c r="J29" s="26">
        <f t="shared" ref="J29" si="12">I29+1</f>
        <v>2020</v>
      </c>
      <c r="K29" s="26">
        <f t="shared" ref="K29" si="13">J29+1</f>
        <v>2021</v>
      </c>
      <c r="L29" s="26">
        <f t="shared" ref="L29" si="14">K29+1</f>
        <v>2022</v>
      </c>
      <c r="M29" s="26">
        <f t="shared" ref="M29" si="15">L29+1</f>
        <v>2023</v>
      </c>
      <c r="N29" s="26">
        <f t="shared" ref="N29" si="16">M29+1</f>
        <v>2024</v>
      </c>
      <c r="O29" s="26">
        <f t="shared" ref="O29" si="17">N29+1</f>
        <v>2025</v>
      </c>
      <c r="P29" s="26">
        <f t="shared" ref="P29" si="18">O29+1</f>
        <v>2026</v>
      </c>
      <c r="Q29" s="26">
        <f t="shared" ref="Q29" si="19">P29+1</f>
        <v>2027</v>
      </c>
      <c r="R29" s="26">
        <f t="shared" ref="R29:S29" si="20">Q29+1</f>
        <v>2028</v>
      </c>
      <c r="S29" s="26">
        <f t="shared" si="20"/>
        <v>2029</v>
      </c>
      <c r="T29" s="26">
        <f t="shared" ref="T29" si="21">S29+1</f>
        <v>2030</v>
      </c>
      <c r="U29" s="26">
        <f t="shared" ref="U29" si="22">T29+1</f>
        <v>2031</v>
      </c>
      <c r="V29" s="26">
        <f t="shared" ref="V29" si="23">U29+1</f>
        <v>2032</v>
      </c>
    </row>
    <row r="30" spans="1:24" s="112" customFormat="1" x14ac:dyDescent="0.25">
      <c r="A30" s="110" t="s">
        <v>123</v>
      </c>
      <c r="B30" s="111">
        <f>130/B3</f>
        <v>0.67357512953367871</v>
      </c>
      <c r="C30" s="111">
        <f>B30</f>
        <v>0.67357512953367871</v>
      </c>
      <c r="D30" s="111">
        <f t="shared" ref="D30:S30" si="24">C30</f>
        <v>0.67357512953367871</v>
      </c>
      <c r="E30" s="111">
        <v>0.75</v>
      </c>
      <c r="F30" s="111">
        <v>0.76</v>
      </c>
      <c r="G30" s="111">
        <v>0.76</v>
      </c>
      <c r="H30" s="111">
        <f t="shared" si="24"/>
        <v>0.76</v>
      </c>
      <c r="I30" s="111">
        <f>H30+7%</f>
        <v>0.83000000000000007</v>
      </c>
      <c r="J30" s="111">
        <f t="shared" si="24"/>
        <v>0.83000000000000007</v>
      </c>
      <c r="K30" s="111">
        <f t="shared" si="24"/>
        <v>0.83000000000000007</v>
      </c>
      <c r="L30" s="111">
        <f t="shared" si="24"/>
        <v>0.83000000000000007</v>
      </c>
      <c r="M30" s="111">
        <f t="shared" si="24"/>
        <v>0.83000000000000007</v>
      </c>
      <c r="N30" s="111">
        <f t="shared" si="24"/>
        <v>0.83000000000000007</v>
      </c>
      <c r="O30" s="111">
        <f t="shared" si="24"/>
        <v>0.83000000000000007</v>
      </c>
      <c r="P30" s="111">
        <f t="shared" si="24"/>
        <v>0.83000000000000007</v>
      </c>
      <c r="Q30" s="111">
        <f t="shared" si="24"/>
        <v>0.83000000000000007</v>
      </c>
      <c r="R30" s="111">
        <f t="shared" si="24"/>
        <v>0.83000000000000007</v>
      </c>
      <c r="S30" s="111">
        <f t="shared" si="24"/>
        <v>0.83000000000000007</v>
      </c>
      <c r="T30" s="111">
        <f t="shared" ref="T30:T34" si="25">S30</f>
        <v>0.83000000000000007</v>
      </c>
      <c r="U30" s="111">
        <f t="shared" ref="U30:U34" si="26">T30</f>
        <v>0.83000000000000007</v>
      </c>
      <c r="V30" s="111">
        <f t="shared" ref="V30:V34" si="27">U30</f>
        <v>0.83000000000000007</v>
      </c>
    </row>
    <row r="31" spans="1:24" s="112" customFormat="1" x14ac:dyDescent="0.25">
      <c r="A31" s="23" t="s">
        <v>124</v>
      </c>
      <c r="B31" s="113">
        <f>75/B4</f>
        <v>0.5859375</v>
      </c>
      <c r="C31" s="113">
        <f>B31</f>
        <v>0.5859375</v>
      </c>
      <c r="D31" s="113">
        <f t="shared" ref="D31:S31" si="28">C31</f>
        <v>0.5859375</v>
      </c>
      <c r="E31" s="113">
        <f t="shared" si="28"/>
        <v>0.5859375</v>
      </c>
      <c r="F31" s="113">
        <f t="shared" si="28"/>
        <v>0.5859375</v>
      </c>
      <c r="G31" s="113">
        <f t="shared" si="28"/>
        <v>0.5859375</v>
      </c>
      <c r="H31" s="113">
        <f t="shared" si="28"/>
        <v>0.5859375</v>
      </c>
      <c r="I31" s="113">
        <f t="shared" si="28"/>
        <v>0.5859375</v>
      </c>
      <c r="J31" s="113">
        <f t="shared" si="28"/>
        <v>0.5859375</v>
      </c>
      <c r="K31" s="113">
        <f t="shared" si="28"/>
        <v>0.5859375</v>
      </c>
      <c r="L31" s="113">
        <f t="shared" si="28"/>
        <v>0.5859375</v>
      </c>
      <c r="M31" s="113">
        <f t="shared" si="28"/>
        <v>0.5859375</v>
      </c>
      <c r="N31" s="113">
        <f t="shared" si="28"/>
        <v>0.5859375</v>
      </c>
      <c r="O31" s="113">
        <f t="shared" si="28"/>
        <v>0.5859375</v>
      </c>
      <c r="P31" s="113">
        <f t="shared" si="28"/>
        <v>0.5859375</v>
      </c>
      <c r="Q31" s="113">
        <f t="shared" si="28"/>
        <v>0.5859375</v>
      </c>
      <c r="R31" s="113">
        <f t="shared" si="28"/>
        <v>0.5859375</v>
      </c>
      <c r="S31" s="113">
        <f t="shared" si="28"/>
        <v>0.5859375</v>
      </c>
      <c r="T31" s="113">
        <f t="shared" si="25"/>
        <v>0.5859375</v>
      </c>
      <c r="U31" s="113">
        <f t="shared" si="26"/>
        <v>0.5859375</v>
      </c>
      <c r="V31" s="113">
        <f t="shared" si="27"/>
        <v>0.5859375</v>
      </c>
    </row>
    <row r="32" spans="1:24" s="112" customFormat="1" x14ac:dyDescent="0.25">
      <c r="A32" s="23" t="s">
        <v>125</v>
      </c>
      <c r="B32" s="113">
        <f>235/B5</f>
        <v>0.71865443425076447</v>
      </c>
      <c r="C32" s="113">
        <f>B32</f>
        <v>0.71865443425076447</v>
      </c>
      <c r="D32" s="113">
        <f t="shared" ref="D32:S32" si="29">C32</f>
        <v>0.71865443425076447</v>
      </c>
      <c r="E32" s="113">
        <f t="shared" si="29"/>
        <v>0.71865443425076447</v>
      </c>
      <c r="F32" s="113">
        <v>0.91800000000000004</v>
      </c>
      <c r="G32" s="113">
        <f t="shared" si="29"/>
        <v>0.91800000000000004</v>
      </c>
      <c r="H32" s="113">
        <f t="shared" si="29"/>
        <v>0.91800000000000004</v>
      </c>
      <c r="I32" s="113">
        <f t="shared" si="29"/>
        <v>0.91800000000000004</v>
      </c>
      <c r="J32" s="113">
        <f t="shared" si="29"/>
        <v>0.91800000000000004</v>
      </c>
      <c r="K32" s="113">
        <f t="shared" si="29"/>
        <v>0.91800000000000004</v>
      </c>
      <c r="L32" s="113">
        <f t="shared" si="29"/>
        <v>0.91800000000000004</v>
      </c>
      <c r="M32" s="113">
        <f t="shared" si="29"/>
        <v>0.91800000000000004</v>
      </c>
      <c r="N32" s="113">
        <f t="shared" si="29"/>
        <v>0.91800000000000004</v>
      </c>
      <c r="O32" s="113">
        <f t="shared" si="29"/>
        <v>0.91800000000000004</v>
      </c>
      <c r="P32" s="113">
        <f t="shared" si="29"/>
        <v>0.91800000000000004</v>
      </c>
      <c r="Q32" s="113">
        <f t="shared" si="29"/>
        <v>0.91800000000000004</v>
      </c>
      <c r="R32" s="113">
        <f t="shared" si="29"/>
        <v>0.91800000000000004</v>
      </c>
      <c r="S32" s="113">
        <f t="shared" si="29"/>
        <v>0.91800000000000004</v>
      </c>
      <c r="T32" s="113">
        <f t="shared" si="25"/>
        <v>0.91800000000000004</v>
      </c>
      <c r="U32" s="113">
        <f t="shared" si="26"/>
        <v>0.91800000000000004</v>
      </c>
      <c r="V32" s="113">
        <f t="shared" si="27"/>
        <v>0.91800000000000004</v>
      </c>
    </row>
    <row r="33" spans="1:22" s="112" customFormat="1" x14ac:dyDescent="0.25">
      <c r="A33" s="23" t="s">
        <v>126</v>
      </c>
      <c r="B33" s="113">
        <f>633/B6</f>
        <v>1</v>
      </c>
      <c r="C33" s="113">
        <f>B33</f>
        <v>1</v>
      </c>
      <c r="D33" s="113">
        <f t="shared" ref="D33:S34" si="30">C33</f>
        <v>1</v>
      </c>
      <c r="E33" s="113">
        <f t="shared" si="30"/>
        <v>1</v>
      </c>
      <c r="F33" s="113">
        <f t="shared" si="30"/>
        <v>1</v>
      </c>
      <c r="G33" s="113">
        <f t="shared" si="30"/>
        <v>1</v>
      </c>
      <c r="H33" s="113">
        <f t="shared" si="30"/>
        <v>1</v>
      </c>
      <c r="I33" s="113">
        <f t="shared" si="30"/>
        <v>1</v>
      </c>
      <c r="J33" s="113">
        <f t="shared" si="30"/>
        <v>1</v>
      </c>
      <c r="K33" s="113">
        <f t="shared" si="30"/>
        <v>1</v>
      </c>
      <c r="L33" s="113">
        <f t="shared" si="30"/>
        <v>1</v>
      </c>
      <c r="M33" s="113">
        <f t="shared" si="30"/>
        <v>1</v>
      </c>
      <c r="N33" s="113">
        <f t="shared" si="30"/>
        <v>1</v>
      </c>
      <c r="O33" s="113">
        <f t="shared" si="30"/>
        <v>1</v>
      </c>
      <c r="P33" s="113">
        <f t="shared" si="30"/>
        <v>1</v>
      </c>
      <c r="Q33" s="113">
        <f t="shared" si="30"/>
        <v>1</v>
      </c>
      <c r="R33" s="113">
        <f t="shared" si="30"/>
        <v>1</v>
      </c>
      <c r="S33" s="113">
        <f t="shared" si="30"/>
        <v>1</v>
      </c>
      <c r="T33" s="113">
        <f t="shared" si="25"/>
        <v>1</v>
      </c>
      <c r="U33" s="113">
        <f t="shared" si="26"/>
        <v>1</v>
      </c>
      <c r="V33" s="113">
        <f t="shared" si="27"/>
        <v>1</v>
      </c>
    </row>
    <row r="34" spans="1:22" s="112" customFormat="1" x14ac:dyDescent="0.25">
      <c r="A34" s="23" t="s">
        <v>314</v>
      </c>
      <c r="B34" s="113"/>
      <c r="C34" s="113"/>
      <c r="D34" s="113"/>
      <c r="E34" s="113"/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0.3</v>
      </c>
      <c r="N34" s="113">
        <v>0.6</v>
      </c>
      <c r="O34" s="113">
        <v>0.9</v>
      </c>
      <c r="P34" s="113">
        <f>O34</f>
        <v>0.9</v>
      </c>
      <c r="Q34" s="113">
        <f t="shared" si="30"/>
        <v>0.9</v>
      </c>
      <c r="R34" s="113">
        <f t="shared" si="30"/>
        <v>0.9</v>
      </c>
      <c r="S34" s="113">
        <f t="shared" si="30"/>
        <v>0.9</v>
      </c>
      <c r="T34" s="113">
        <f t="shared" si="25"/>
        <v>0.9</v>
      </c>
      <c r="U34" s="113">
        <f t="shared" si="26"/>
        <v>0.9</v>
      </c>
      <c r="V34" s="113">
        <f t="shared" si="27"/>
        <v>0.9</v>
      </c>
    </row>
    <row r="35" spans="1:22" s="112" customFormat="1" x14ac:dyDescent="0.25">
      <c r="A35" s="110" t="s">
        <v>127</v>
      </c>
      <c r="B35" s="113">
        <f>100%</f>
        <v>1</v>
      </c>
      <c r="C35" s="113">
        <f>100%</f>
        <v>1</v>
      </c>
      <c r="D35" s="113">
        <f>100%</f>
        <v>1</v>
      </c>
      <c r="E35" s="113">
        <f>100%</f>
        <v>1</v>
      </c>
      <c r="F35" s="113">
        <v>0.96</v>
      </c>
      <c r="G35" s="113">
        <v>0.96</v>
      </c>
      <c r="H35" s="113">
        <v>0.96</v>
      </c>
      <c r="I35" s="113">
        <v>0.96</v>
      </c>
      <c r="J35" s="113">
        <v>1</v>
      </c>
      <c r="K35" s="113">
        <v>1</v>
      </c>
      <c r="L35" s="113">
        <v>1</v>
      </c>
      <c r="M35" s="113">
        <v>1</v>
      </c>
      <c r="N35" s="113">
        <v>1</v>
      </c>
      <c r="O35" s="113">
        <v>1</v>
      </c>
      <c r="P35" s="113">
        <v>1</v>
      </c>
      <c r="Q35" s="113">
        <v>1</v>
      </c>
      <c r="R35" s="113">
        <v>1</v>
      </c>
      <c r="S35" s="113">
        <v>1</v>
      </c>
      <c r="T35" s="113">
        <v>1</v>
      </c>
      <c r="U35" s="113">
        <v>1</v>
      </c>
      <c r="V35" s="113">
        <v>1</v>
      </c>
    </row>
    <row r="36" spans="1:22" s="112" customFormat="1" x14ac:dyDescent="0.25">
      <c r="A36" s="23" t="s">
        <v>128</v>
      </c>
      <c r="B36" s="113">
        <f>33*0.95/B9</f>
        <v>0.233955223880597</v>
      </c>
      <c r="C36" s="113">
        <f t="shared" ref="C36:C43" si="31">B36</f>
        <v>0.233955223880597</v>
      </c>
      <c r="D36" s="113">
        <f t="shared" ref="D36:S36" si="32">C36</f>
        <v>0.233955223880597</v>
      </c>
      <c r="E36" s="113">
        <f t="shared" si="32"/>
        <v>0.233955223880597</v>
      </c>
      <c r="F36" s="113">
        <f t="shared" si="32"/>
        <v>0.233955223880597</v>
      </c>
      <c r="G36" s="113">
        <f t="shared" si="32"/>
        <v>0.233955223880597</v>
      </c>
      <c r="H36" s="113">
        <f t="shared" si="32"/>
        <v>0.233955223880597</v>
      </c>
      <c r="I36" s="113">
        <f t="shared" si="32"/>
        <v>0.233955223880597</v>
      </c>
      <c r="J36" s="113">
        <f t="shared" si="32"/>
        <v>0.233955223880597</v>
      </c>
      <c r="K36" s="113">
        <f t="shared" si="32"/>
        <v>0.233955223880597</v>
      </c>
      <c r="L36" s="113">
        <f t="shared" si="32"/>
        <v>0.233955223880597</v>
      </c>
      <c r="M36" s="113">
        <f t="shared" si="32"/>
        <v>0.233955223880597</v>
      </c>
      <c r="N36" s="113">
        <f t="shared" si="32"/>
        <v>0.233955223880597</v>
      </c>
      <c r="O36" s="113">
        <f t="shared" si="32"/>
        <v>0.233955223880597</v>
      </c>
      <c r="P36" s="113">
        <f t="shared" si="32"/>
        <v>0.233955223880597</v>
      </c>
      <c r="Q36" s="113">
        <f t="shared" si="32"/>
        <v>0.233955223880597</v>
      </c>
      <c r="R36" s="113">
        <f t="shared" si="32"/>
        <v>0.233955223880597</v>
      </c>
      <c r="S36" s="113">
        <f t="shared" si="32"/>
        <v>0.233955223880597</v>
      </c>
      <c r="T36" s="113">
        <f t="shared" ref="T36:T42" si="33">S36</f>
        <v>0.233955223880597</v>
      </c>
      <c r="U36" s="113">
        <f t="shared" ref="U36:U42" si="34">T36</f>
        <v>0.233955223880597</v>
      </c>
      <c r="V36" s="113">
        <f t="shared" ref="V36:V42" si="35">U36</f>
        <v>0.233955223880597</v>
      </c>
    </row>
    <row r="37" spans="1:22" s="112" customFormat="1" x14ac:dyDescent="0.25">
      <c r="A37" s="23" t="s">
        <v>129</v>
      </c>
      <c r="B37" s="113">
        <f>60*0.95/B10</f>
        <v>0.30810810810810813</v>
      </c>
      <c r="C37" s="113">
        <f t="shared" si="31"/>
        <v>0.30810810810810813</v>
      </c>
      <c r="D37" s="113">
        <f t="shared" ref="D37:S37" si="36">C37</f>
        <v>0.30810810810810813</v>
      </c>
      <c r="E37" s="113">
        <f t="shared" si="36"/>
        <v>0.30810810810810813</v>
      </c>
      <c r="F37" s="113">
        <f t="shared" si="36"/>
        <v>0.30810810810810813</v>
      </c>
      <c r="G37" s="113">
        <f t="shared" si="36"/>
        <v>0.30810810810810813</v>
      </c>
      <c r="H37" s="113">
        <f t="shared" si="36"/>
        <v>0.30810810810810813</v>
      </c>
      <c r="I37" s="113">
        <f t="shared" si="36"/>
        <v>0.30810810810810813</v>
      </c>
      <c r="J37" s="113">
        <f t="shared" si="36"/>
        <v>0.30810810810810813</v>
      </c>
      <c r="K37" s="113">
        <f t="shared" si="36"/>
        <v>0.30810810810810813</v>
      </c>
      <c r="L37" s="113">
        <f t="shared" si="36"/>
        <v>0.30810810810810813</v>
      </c>
      <c r="M37" s="113">
        <f t="shared" si="36"/>
        <v>0.30810810810810813</v>
      </c>
      <c r="N37" s="113">
        <f t="shared" si="36"/>
        <v>0.30810810810810813</v>
      </c>
      <c r="O37" s="113">
        <f t="shared" si="36"/>
        <v>0.30810810810810813</v>
      </c>
      <c r="P37" s="113">
        <f t="shared" si="36"/>
        <v>0.30810810810810813</v>
      </c>
      <c r="Q37" s="113">
        <f t="shared" si="36"/>
        <v>0.30810810810810813</v>
      </c>
      <c r="R37" s="113">
        <f t="shared" si="36"/>
        <v>0.30810810810810813</v>
      </c>
      <c r="S37" s="113">
        <f t="shared" si="36"/>
        <v>0.30810810810810813</v>
      </c>
      <c r="T37" s="113">
        <f t="shared" si="33"/>
        <v>0.30810810810810813</v>
      </c>
      <c r="U37" s="113">
        <f t="shared" si="34"/>
        <v>0.30810810810810813</v>
      </c>
      <c r="V37" s="113">
        <f t="shared" si="35"/>
        <v>0.30810810810810813</v>
      </c>
    </row>
    <row r="38" spans="1:22" s="112" customFormat="1" x14ac:dyDescent="0.25">
      <c r="A38" s="23" t="s">
        <v>130</v>
      </c>
      <c r="B38" s="113">
        <f>97*0.95/B11</f>
        <v>0.41886363636363633</v>
      </c>
      <c r="C38" s="113">
        <f t="shared" si="31"/>
        <v>0.41886363636363633</v>
      </c>
      <c r="D38" s="113">
        <f t="shared" ref="D38:S38" si="37">C38</f>
        <v>0.41886363636363633</v>
      </c>
      <c r="E38" s="113">
        <f t="shared" si="37"/>
        <v>0.41886363636363633</v>
      </c>
      <c r="F38" s="113">
        <v>0.27</v>
      </c>
      <c r="G38" s="113">
        <f t="shared" si="37"/>
        <v>0.27</v>
      </c>
      <c r="H38" s="113">
        <f t="shared" si="37"/>
        <v>0.27</v>
      </c>
      <c r="I38" s="113">
        <f t="shared" si="37"/>
        <v>0.27</v>
      </c>
      <c r="J38" s="113">
        <f t="shared" si="37"/>
        <v>0.27</v>
      </c>
      <c r="K38" s="113">
        <f t="shared" si="37"/>
        <v>0.27</v>
      </c>
      <c r="L38" s="113">
        <f t="shared" si="37"/>
        <v>0.27</v>
      </c>
      <c r="M38" s="113">
        <f t="shared" si="37"/>
        <v>0.27</v>
      </c>
      <c r="N38" s="113">
        <f t="shared" si="37"/>
        <v>0.27</v>
      </c>
      <c r="O38" s="113">
        <f t="shared" si="37"/>
        <v>0.27</v>
      </c>
      <c r="P38" s="113">
        <f t="shared" si="37"/>
        <v>0.27</v>
      </c>
      <c r="Q38" s="113">
        <f t="shared" si="37"/>
        <v>0.27</v>
      </c>
      <c r="R38" s="113">
        <f t="shared" si="37"/>
        <v>0.27</v>
      </c>
      <c r="S38" s="113">
        <f t="shared" si="37"/>
        <v>0.27</v>
      </c>
      <c r="T38" s="113">
        <f t="shared" si="33"/>
        <v>0.27</v>
      </c>
      <c r="U38" s="113">
        <f t="shared" si="34"/>
        <v>0.27</v>
      </c>
      <c r="V38" s="113">
        <f t="shared" si="35"/>
        <v>0.27</v>
      </c>
    </row>
    <row r="39" spans="1:22" s="112" customFormat="1" x14ac:dyDescent="0.25">
      <c r="A39" s="23" t="s">
        <v>131</v>
      </c>
      <c r="B39" s="111">
        <f>320/B12</f>
        <v>0.71111111111111114</v>
      </c>
      <c r="C39" s="111">
        <f t="shared" si="31"/>
        <v>0.71111111111111114</v>
      </c>
      <c r="D39" s="111">
        <f t="shared" ref="D39:S39" si="38">C39</f>
        <v>0.71111111111111114</v>
      </c>
      <c r="E39" s="111">
        <f t="shared" si="38"/>
        <v>0.71111111111111114</v>
      </c>
      <c r="F39" s="111">
        <v>0.78</v>
      </c>
      <c r="G39" s="111">
        <f t="shared" si="38"/>
        <v>0.78</v>
      </c>
      <c r="H39" s="111">
        <f t="shared" si="38"/>
        <v>0.78</v>
      </c>
      <c r="I39" s="111">
        <f t="shared" si="38"/>
        <v>0.78</v>
      </c>
      <c r="J39" s="111">
        <f t="shared" si="38"/>
        <v>0.78</v>
      </c>
      <c r="K39" s="111">
        <f t="shared" si="38"/>
        <v>0.78</v>
      </c>
      <c r="L39" s="111">
        <f t="shared" si="38"/>
        <v>0.78</v>
      </c>
      <c r="M39" s="111">
        <f t="shared" si="38"/>
        <v>0.78</v>
      </c>
      <c r="N39" s="111">
        <f t="shared" si="38"/>
        <v>0.78</v>
      </c>
      <c r="O39" s="111">
        <f t="shared" si="38"/>
        <v>0.78</v>
      </c>
      <c r="P39" s="111">
        <f t="shared" si="38"/>
        <v>0.78</v>
      </c>
      <c r="Q39" s="111">
        <f t="shared" si="38"/>
        <v>0.78</v>
      </c>
      <c r="R39" s="111">
        <f t="shared" si="38"/>
        <v>0.78</v>
      </c>
      <c r="S39" s="111">
        <f t="shared" si="38"/>
        <v>0.78</v>
      </c>
      <c r="T39" s="111">
        <f t="shared" si="33"/>
        <v>0.78</v>
      </c>
      <c r="U39" s="111">
        <f t="shared" si="34"/>
        <v>0.78</v>
      </c>
      <c r="V39" s="111">
        <f t="shared" si="35"/>
        <v>0.78</v>
      </c>
    </row>
    <row r="40" spans="1:22" s="112" customFormat="1" x14ac:dyDescent="0.25">
      <c r="A40" s="23" t="s">
        <v>132</v>
      </c>
      <c r="B40" s="113">
        <f>95*0.95/B13</f>
        <v>0.62241379310344824</v>
      </c>
      <c r="C40" s="111">
        <f t="shared" si="31"/>
        <v>0.62241379310344824</v>
      </c>
      <c r="D40" s="111">
        <f t="shared" ref="D40:S40" si="39">C40</f>
        <v>0.62241379310344824</v>
      </c>
      <c r="E40" s="111">
        <f t="shared" si="39"/>
        <v>0.62241379310344824</v>
      </c>
      <c r="F40" s="111">
        <f t="shared" si="39"/>
        <v>0.62241379310344824</v>
      </c>
      <c r="G40" s="111">
        <f t="shared" si="39"/>
        <v>0.62241379310344824</v>
      </c>
      <c r="H40" s="111">
        <f t="shared" si="39"/>
        <v>0.62241379310344824</v>
      </c>
      <c r="I40" s="111">
        <f t="shared" si="39"/>
        <v>0.62241379310344824</v>
      </c>
      <c r="J40" s="111">
        <f t="shared" si="39"/>
        <v>0.62241379310344824</v>
      </c>
      <c r="K40" s="111">
        <f t="shared" si="39"/>
        <v>0.62241379310344824</v>
      </c>
      <c r="L40" s="111">
        <f t="shared" si="39"/>
        <v>0.62241379310344824</v>
      </c>
      <c r="M40" s="111">
        <f t="shared" si="39"/>
        <v>0.62241379310344824</v>
      </c>
      <c r="N40" s="111">
        <f t="shared" si="39"/>
        <v>0.62241379310344824</v>
      </c>
      <c r="O40" s="111">
        <f t="shared" si="39"/>
        <v>0.62241379310344824</v>
      </c>
      <c r="P40" s="111">
        <f t="shared" si="39"/>
        <v>0.62241379310344824</v>
      </c>
      <c r="Q40" s="111">
        <f t="shared" si="39"/>
        <v>0.62241379310344824</v>
      </c>
      <c r="R40" s="111">
        <f t="shared" si="39"/>
        <v>0.62241379310344824</v>
      </c>
      <c r="S40" s="111">
        <f t="shared" si="39"/>
        <v>0.62241379310344824</v>
      </c>
      <c r="T40" s="111">
        <f t="shared" si="33"/>
        <v>0.62241379310344824</v>
      </c>
      <c r="U40" s="111">
        <f t="shared" si="34"/>
        <v>0.62241379310344824</v>
      </c>
      <c r="V40" s="111">
        <f t="shared" si="35"/>
        <v>0.62241379310344824</v>
      </c>
    </row>
    <row r="41" spans="1:22" s="112" customFormat="1" x14ac:dyDescent="0.25">
      <c r="A41" s="23" t="s">
        <v>133</v>
      </c>
      <c r="B41" s="113">
        <f>99*0.95/B14</f>
        <v>0.72346153846153849</v>
      </c>
      <c r="C41" s="113">
        <f t="shared" si="31"/>
        <v>0.72346153846153849</v>
      </c>
      <c r="D41" s="113">
        <f t="shared" ref="D41:S41" si="40">C41</f>
        <v>0.72346153846153849</v>
      </c>
      <c r="E41" s="113">
        <f t="shared" si="40"/>
        <v>0.72346153846153849</v>
      </c>
      <c r="F41" s="113">
        <v>0.88</v>
      </c>
      <c r="G41" s="113">
        <v>0.9</v>
      </c>
      <c r="H41" s="113">
        <f t="shared" si="40"/>
        <v>0.9</v>
      </c>
      <c r="I41" s="113">
        <f t="shared" si="40"/>
        <v>0.9</v>
      </c>
      <c r="J41" s="113">
        <f t="shared" si="40"/>
        <v>0.9</v>
      </c>
      <c r="K41" s="113">
        <f t="shared" si="40"/>
        <v>0.9</v>
      </c>
      <c r="L41" s="113">
        <f t="shared" si="40"/>
        <v>0.9</v>
      </c>
      <c r="M41" s="113">
        <f t="shared" si="40"/>
        <v>0.9</v>
      </c>
      <c r="N41" s="113">
        <f t="shared" si="40"/>
        <v>0.9</v>
      </c>
      <c r="O41" s="113">
        <f t="shared" si="40"/>
        <v>0.9</v>
      </c>
      <c r="P41" s="113">
        <f t="shared" si="40"/>
        <v>0.9</v>
      </c>
      <c r="Q41" s="113">
        <f t="shared" si="40"/>
        <v>0.9</v>
      </c>
      <c r="R41" s="113">
        <f t="shared" si="40"/>
        <v>0.9</v>
      </c>
      <c r="S41" s="113">
        <f t="shared" si="40"/>
        <v>0.9</v>
      </c>
      <c r="T41" s="113">
        <f t="shared" si="33"/>
        <v>0.9</v>
      </c>
      <c r="U41" s="113">
        <f t="shared" si="34"/>
        <v>0.9</v>
      </c>
      <c r="V41" s="113">
        <f t="shared" si="35"/>
        <v>0.9</v>
      </c>
    </row>
    <row r="42" spans="1:22" s="112" customFormat="1" x14ac:dyDescent="0.25">
      <c r="A42" s="23" t="s">
        <v>134</v>
      </c>
      <c r="B42" s="111">
        <v>1</v>
      </c>
      <c r="C42" s="113">
        <f t="shared" si="31"/>
        <v>1</v>
      </c>
      <c r="D42" s="113">
        <f t="shared" ref="D42:S42" si="41">C42</f>
        <v>1</v>
      </c>
      <c r="E42" s="113">
        <f t="shared" si="41"/>
        <v>1</v>
      </c>
      <c r="F42" s="113">
        <v>0.47</v>
      </c>
      <c r="G42" s="113">
        <f t="shared" si="41"/>
        <v>0.47</v>
      </c>
      <c r="H42" s="113">
        <f t="shared" si="41"/>
        <v>0.47</v>
      </c>
      <c r="I42" s="113">
        <f t="shared" si="41"/>
        <v>0.47</v>
      </c>
      <c r="J42" s="113">
        <f t="shared" si="41"/>
        <v>0.47</v>
      </c>
      <c r="K42" s="113">
        <f t="shared" si="41"/>
        <v>0.47</v>
      </c>
      <c r="L42" s="113">
        <f t="shared" si="41"/>
        <v>0.47</v>
      </c>
      <c r="M42" s="113">
        <f t="shared" si="41"/>
        <v>0.47</v>
      </c>
      <c r="N42" s="113">
        <f t="shared" si="41"/>
        <v>0.47</v>
      </c>
      <c r="O42" s="113">
        <f t="shared" si="41"/>
        <v>0.47</v>
      </c>
      <c r="P42" s="113">
        <f t="shared" si="41"/>
        <v>0.47</v>
      </c>
      <c r="Q42" s="113">
        <f t="shared" si="41"/>
        <v>0.47</v>
      </c>
      <c r="R42" s="113">
        <f t="shared" si="41"/>
        <v>0.47</v>
      </c>
      <c r="S42" s="113">
        <f t="shared" si="41"/>
        <v>0.47</v>
      </c>
      <c r="T42" s="113">
        <f t="shared" si="33"/>
        <v>0.47</v>
      </c>
      <c r="U42" s="113">
        <f t="shared" si="34"/>
        <v>0.47</v>
      </c>
      <c r="V42" s="113">
        <f t="shared" si="35"/>
        <v>0.47</v>
      </c>
    </row>
    <row r="43" spans="1:22" s="112" customFormat="1" x14ac:dyDescent="0.25">
      <c r="A43" s="23" t="s">
        <v>136</v>
      </c>
      <c r="B43" s="111">
        <v>0.3</v>
      </c>
      <c r="C43" s="113">
        <f t="shared" si="31"/>
        <v>0.3</v>
      </c>
      <c r="D43" s="113">
        <f t="shared" ref="D43:E43" si="42">C43</f>
        <v>0.3</v>
      </c>
      <c r="E43" s="113">
        <f t="shared" si="42"/>
        <v>0.3</v>
      </c>
      <c r="F43" s="113">
        <v>0.3</v>
      </c>
      <c r="G43" s="113">
        <v>0.3</v>
      </c>
      <c r="H43" s="113">
        <v>0.3</v>
      </c>
      <c r="I43" s="113">
        <v>0.3</v>
      </c>
      <c r="J43" s="113">
        <v>0.3</v>
      </c>
      <c r="K43" s="113">
        <v>0.3</v>
      </c>
      <c r="L43" s="113">
        <v>0.3</v>
      </c>
      <c r="M43" s="113">
        <v>0.3</v>
      </c>
      <c r="N43" s="113">
        <v>0.3</v>
      </c>
      <c r="O43" s="113">
        <v>0.3</v>
      </c>
      <c r="P43" s="113">
        <v>0.3</v>
      </c>
      <c r="Q43" s="113">
        <v>0.3</v>
      </c>
      <c r="R43" s="113">
        <v>0.3</v>
      </c>
      <c r="S43" s="113">
        <v>0.3</v>
      </c>
      <c r="T43" s="113">
        <v>0.3</v>
      </c>
      <c r="U43" s="113">
        <v>0.3</v>
      </c>
      <c r="V43" s="113">
        <v>0.3</v>
      </c>
    </row>
    <row r="44" spans="1:22" s="112" customFormat="1" x14ac:dyDescent="0.25">
      <c r="A44" s="23" t="s">
        <v>137</v>
      </c>
      <c r="B44" s="113">
        <v>0.75</v>
      </c>
      <c r="C44" s="113">
        <v>0.75</v>
      </c>
      <c r="D44" s="113">
        <v>0.84</v>
      </c>
      <c r="E44" s="113">
        <v>0.84</v>
      </c>
      <c r="F44" s="113">
        <v>0.94599999999999995</v>
      </c>
      <c r="G44" s="113">
        <v>0.94599999999999995</v>
      </c>
      <c r="H44" s="113">
        <v>0.94599999999999995</v>
      </c>
      <c r="I44" s="113">
        <v>0.94599999999999995</v>
      </c>
      <c r="J44" s="113">
        <v>0.94599999999999995</v>
      </c>
      <c r="K44" s="113">
        <v>0.94599999999999995</v>
      </c>
      <c r="L44" s="113">
        <v>0.94599999999999995</v>
      </c>
      <c r="M44" s="113">
        <v>0.94599999999999995</v>
      </c>
      <c r="N44" s="113">
        <v>0.94599999999999995</v>
      </c>
      <c r="O44" s="113">
        <v>0.94599999999999995</v>
      </c>
      <c r="P44" s="113">
        <v>0.94599999999999995</v>
      </c>
      <c r="Q44" s="113">
        <v>0.94599999999999995</v>
      </c>
      <c r="R44" s="113">
        <v>0.94599999999999995</v>
      </c>
      <c r="S44" s="113">
        <v>0.94599999999999995</v>
      </c>
      <c r="T44" s="113">
        <v>0.94599999999999995</v>
      </c>
      <c r="U44" s="113">
        <v>0.94599999999999995</v>
      </c>
      <c r="V44" s="113">
        <v>0.94599999999999995</v>
      </c>
    </row>
    <row r="45" spans="1:22" s="112" customFormat="1" x14ac:dyDescent="0.25">
      <c r="A45" s="23" t="s">
        <v>251</v>
      </c>
      <c r="B45" s="113"/>
      <c r="C45" s="113"/>
      <c r="D45" s="113"/>
      <c r="E45" s="113"/>
      <c r="F45" s="113">
        <v>0.7</v>
      </c>
      <c r="G45" s="113">
        <v>0.7</v>
      </c>
      <c r="H45" s="113">
        <v>0.7</v>
      </c>
      <c r="I45" s="113">
        <v>0.7</v>
      </c>
      <c r="J45" s="113">
        <v>0.7</v>
      </c>
      <c r="K45" s="113">
        <v>0.7</v>
      </c>
      <c r="L45" s="113">
        <v>0.7</v>
      </c>
      <c r="M45" s="113">
        <v>0.7</v>
      </c>
      <c r="N45" s="113">
        <v>0.7</v>
      </c>
      <c r="O45" s="113">
        <v>0.7</v>
      </c>
      <c r="P45" s="113">
        <v>0.7</v>
      </c>
      <c r="Q45" s="113">
        <v>0.7</v>
      </c>
      <c r="R45" s="113">
        <v>0.7</v>
      </c>
      <c r="S45" s="113">
        <v>0.7</v>
      </c>
      <c r="T45" s="113">
        <v>0.7</v>
      </c>
      <c r="U45" s="113">
        <v>0.7</v>
      </c>
      <c r="V45" s="113">
        <v>0.7</v>
      </c>
    </row>
    <row r="46" spans="1:22" s="112" customFormat="1" x14ac:dyDescent="0.25">
      <c r="A46" s="110" t="s">
        <v>252</v>
      </c>
      <c r="B46" s="113"/>
      <c r="C46" s="113"/>
      <c r="D46" s="113"/>
      <c r="E46" s="113"/>
      <c r="F46" s="113">
        <v>0.61</v>
      </c>
      <c r="G46" s="113">
        <v>0.61</v>
      </c>
      <c r="H46" s="113">
        <v>0.61</v>
      </c>
      <c r="I46" s="113">
        <v>0.61</v>
      </c>
      <c r="J46" s="113">
        <v>0.64</v>
      </c>
      <c r="K46" s="113">
        <v>0.67</v>
      </c>
      <c r="L46" s="113">
        <v>0.71</v>
      </c>
      <c r="M46" s="113">
        <v>0.74</v>
      </c>
      <c r="N46" s="113">
        <v>0.77</v>
      </c>
      <c r="O46" s="113">
        <v>0.78</v>
      </c>
      <c r="P46" s="113">
        <v>0.78</v>
      </c>
      <c r="Q46" s="113">
        <v>0.78</v>
      </c>
      <c r="R46" s="113">
        <v>0.78</v>
      </c>
      <c r="S46" s="113">
        <v>0.78</v>
      </c>
      <c r="T46" s="113">
        <v>0.78</v>
      </c>
      <c r="U46" s="113">
        <v>0.78</v>
      </c>
      <c r="V46" s="113">
        <v>0.78</v>
      </c>
    </row>
    <row r="47" spans="1:22" x14ac:dyDescent="0.25">
      <c r="A47" s="21" t="s">
        <v>249</v>
      </c>
      <c r="B47" s="30"/>
      <c r="C47" s="30"/>
      <c r="D47" s="30"/>
      <c r="E47" s="30"/>
      <c r="F47" s="63">
        <v>1</v>
      </c>
      <c r="G47" s="63">
        <v>1</v>
      </c>
      <c r="H47" s="30">
        <v>1</v>
      </c>
      <c r="I47" s="30">
        <v>1</v>
      </c>
      <c r="J47" s="30">
        <v>1</v>
      </c>
      <c r="K47" s="30">
        <v>1</v>
      </c>
      <c r="L47" s="30">
        <v>1</v>
      </c>
      <c r="M47" s="30">
        <v>1</v>
      </c>
      <c r="N47" s="30">
        <v>1</v>
      </c>
      <c r="O47" s="30">
        <v>1</v>
      </c>
      <c r="P47" s="30">
        <v>1</v>
      </c>
      <c r="Q47" s="30">
        <v>1</v>
      </c>
      <c r="R47" s="30">
        <v>1</v>
      </c>
      <c r="S47" s="30">
        <v>1</v>
      </c>
      <c r="T47" s="30">
        <v>1</v>
      </c>
      <c r="U47" s="30">
        <v>1</v>
      </c>
      <c r="V47" s="30">
        <v>1</v>
      </c>
    </row>
    <row r="48" spans="1:22" x14ac:dyDescent="0.25">
      <c r="A48" s="21" t="s">
        <v>250</v>
      </c>
      <c r="B48" s="30"/>
      <c r="C48" s="30"/>
      <c r="D48" s="30"/>
      <c r="E48" s="30"/>
      <c r="F48" s="63">
        <v>1</v>
      </c>
      <c r="G48" s="63">
        <v>1</v>
      </c>
      <c r="H48" s="30">
        <v>1</v>
      </c>
      <c r="I48" s="30">
        <v>1</v>
      </c>
      <c r="J48" s="30">
        <v>1</v>
      </c>
      <c r="K48" s="30">
        <v>1</v>
      </c>
      <c r="L48" s="30">
        <v>1</v>
      </c>
      <c r="M48" s="30">
        <v>1</v>
      </c>
      <c r="N48" s="30">
        <v>1</v>
      </c>
      <c r="O48" s="30">
        <v>1</v>
      </c>
      <c r="P48" s="30">
        <v>1</v>
      </c>
      <c r="Q48" s="30">
        <v>1</v>
      </c>
      <c r="R48" s="30">
        <v>1</v>
      </c>
      <c r="S48" s="30">
        <v>1</v>
      </c>
      <c r="T48" s="30">
        <v>1</v>
      </c>
      <c r="U48" s="30">
        <v>1</v>
      </c>
      <c r="V48" s="30">
        <v>1</v>
      </c>
    </row>
    <row r="49" spans="1:22" x14ac:dyDescent="0.25">
      <c r="A49" s="21" t="s">
        <v>138</v>
      </c>
      <c r="B49" s="29">
        <v>0.24</v>
      </c>
      <c r="C49" s="30">
        <f>B49</f>
        <v>0.24</v>
      </c>
      <c r="D49" s="30">
        <f t="shared" ref="D49:S49" si="43">C49</f>
        <v>0.24</v>
      </c>
      <c r="E49" s="30">
        <f t="shared" si="43"/>
        <v>0.24</v>
      </c>
      <c r="F49" s="63">
        <f t="shared" si="43"/>
        <v>0.24</v>
      </c>
      <c r="G49" s="63">
        <f t="shared" si="43"/>
        <v>0.24</v>
      </c>
      <c r="H49" s="30">
        <f t="shared" si="43"/>
        <v>0.24</v>
      </c>
      <c r="I49" s="30">
        <f t="shared" si="43"/>
        <v>0.24</v>
      </c>
      <c r="J49" s="30">
        <f t="shared" si="43"/>
        <v>0.24</v>
      </c>
      <c r="K49" s="30">
        <f t="shared" si="43"/>
        <v>0.24</v>
      </c>
      <c r="L49" s="30">
        <f t="shared" si="43"/>
        <v>0.24</v>
      </c>
      <c r="M49" s="30">
        <f t="shared" si="43"/>
        <v>0.24</v>
      </c>
      <c r="N49" s="30">
        <f t="shared" si="43"/>
        <v>0.24</v>
      </c>
      <c r="O49" s="30">
        <f t="shared" si="43"/>
        <v>0.24</v>
      </c>
      <c r="P49" s="30">
        <f t="shared" si="43"/>
        <v>0.24</v>
      </c>
      <c r="Q49" s="30">
        <f t="shared" si="43"/>
        <v>0.24</v>
      </c>
      <c r="R49" s="30">
        <f t="shared" si="43"/>
        <v>0.24</v>
      </c>
      <c r="S49" s="30">
        <f t="shared" si="43"/>
        <v>0.24</v>
      </c>
      <c r="T49" s="30">
        <f t="shared" ref="T49:T52" si="44">S49</f>
        <v>0.24</v>
      </c>
      <c r="U49" s="30">
        <f t="shared" ref="U49:U52" si="45">T49</f>
        <v>0.24</v>
      </c>
      <c r="V49" s="30">
        <f t="shared" ref="V49:V52" si="46">U49</f>
        <v>0.24</v>
      </c>
    </row>
    <row r="50" spans="1:22" x14ac:dyDescent="0.25">
      <c r="A50" s="21" t="s">
        <v>139</v>
      </c>
      <c r="B50" s="29">
        <v>0.4</v>
      </c>
      <c r="C50" s="30">
        <f t="shared" ref="C50:S50" si="47">B50</f>
        <v>0.4</v>
      </c>
      <c r="D50" s="30">
        <f t="shared" si="47"/>
        <v>0.4</v>
      </c>
      <c r="E50" s="30">
        <f t="shared" si="47"/>
        <v>0.4</v>
      </c>
      <c r="F50" s="63">
        <f t="shared" si="47"/>
        <v>0.4</v>
      </c>
      <c r="G50" s="63">
        <f t="shared" si="47"/>
        <v>0.4</v>
      </c>
      <c r="H50" s="30">
        <f t="shared" si="47"/>
        <v>0.4</v>
      </c>
      <c r="I50" s="30">
        <f t="shared" si="47"/>
        <v>0.4</v>
      </c>
      <c r="J50" s="30">
        <f t="shared" si="47"/>
        <v>0.4</v>
      </c>
      <c r="K50" s="30">
        <f t="shared" si="47"/>
        <v>0.4</v>
      </c>
      <c r="L50" s="30">
        <f t="shared" si="47"/>
        <v>0.4</v>
      </c>
      <c r="M50" s="30">
        <f t="shared" si="47"/>
        <v>0.4</v>
      </c>
      <c r="N50" s="30">
        <f t="shared" si="47"/>
        <v>0.4</v>
      </c>
      <c r="O50" s="30">
        <f t="shared" si="47"/>
        <v>0.4</v>
      </c>
      <c r="P50" s="30">
        <f t="shared" si="47"/>
        <v>0.4</v>
      </c>
      <c r="Q50" s="30">
        <f t="shared" si="47"/>
        <v>0.4</v>
      </c>
      <c r="R50" s="30">
        <f t="shared" si="47"/>
        <v>0.4</v>
      </c>
      <c r="S50" s="30">
        <f t="shared" si="47"/>
        <v>0.4</v>
      </c>
      <c r="T50" s="30">
        <f t="shared" si="44"/>
        <v>0.4</v>
      </c>
      <c r="U50" s="30">
        <f t="shared" si="45"/>
        <v>0.4</v>
      </c>
      <c r="V50" s="30">
        <f t="shared" si="46"/>
        <v>0.4</v>
      </c>
    </row>
    <row r="51" spans="1:22" x14ac:dyDescent="0.25">
      <c r="A51" s="21" t="s">
        <v>140</v>
      </c>
      <c r="B51" s="29">
        <v>0.3</v>
      </c>
      <c r="C51" s="30">
        <f t="shared" ref="C51:S51" si="48">B51</f>
        <v>0.3</v>
      </c>
      <c r="D51" s="30">
        <f t="shared" si="48"/>
        <v>0.3</v>
      </c>
      <c r="E51" s="30">
        <f t="shared" si="48"/>
        <v>0.3</v>
      </c>
      <c r="F51" s="63">
        <f t="shared" si="48"/>
        <v>0.3</v>
      </c>
      <c r="G51" s="63">
        <f t="shared" si="48"/>
        <v>0.3</v>
      </c>
      <c r="H51" s="30">
        <f t="shared" si="48"/>
        <v>0.3</v>
      </c>
      <c r="I51" s="30">
        <f t="shared" si="48"/>
        <v>0.3</v>
      </c>
      <c r="J51" s="30">
        <f t="shared" si="48"/>
        <v>0.3</v>
      </c>
      <c r="K51" s="30">
        <f t="shared" si="48"/>
        <v>0.3</v>
      </c>
      <c r="L51" s="30">
        <f t="shared" si="48"/>
        <v>0.3</v>
      </c>
      <c r="M51" s="30">
        <f t="shared" si="48"/>
        <v>0.3</v>
      </c>
      <c r="N51" s="30">
        <f t="shared" si="48"/>
        <v>0.3</v>
      </c>
      <c r="O51" s="30">
        <f t="shared" si="48"/>
        <v>0.3</v>
      </c>
      <c r="P51" s="30">
        <f t="shared" si="48"/>
        <v>0.3</v>
      </c>
      <c r="Q51" s="30">
        <f t="shared" si="48"/>
        <v>0.3</v>
      </c>
      <c r="R51" s="30">
        <f t="shared" si="48"/>
        <v>0.3</v>
      </c>
      <c r="S51" s="30">
        <f t="shared" si="48"/>
        <v>0.3</v>
      </c>
      <c r="T51" s="30">
        <f t="shared" si="44"/>
        <v>0.3</v>
      </c>
      <c r="U51" s="30">
        <f t="shared" si="45"/>
        <v>0.3</v>
      </c>
      <c r="V51" s="30">
        <f t="shared" si="46"/>
        <v>0.3</v>
      </c>
    </row>
    <row r="52" spans="1:22" x14ac:dyDescent="0.25">
      <c r="A52" s="21" t="s">
        <v>141</v>
      </c>
      <c r="B52" s="29">
        <v>0.4</v>
      </c>
      <c r="C52" s="30">
        <f t="shared" ref="C52:S52" si="49">B52</f>
        <v>0.4</v>
      </c>
      <c r="D52" s="30">
        <f t="shared" si="49"/>
        <v>0.4</v>
      </c>
      <c r="E52" s="30">
        <f t="shared" si="49"/>
        <v>0.4</v>
      </c>
      <c r="F52" s="63">
        <f t="shared" si="49"/>
        <v>0.4</v>
      </c>
      <c r="G52" s="63">
        <f t="shared" si="49"/>
        <v>0.4</v>
      </c>
      <c r="H52" s="30">
        <f t="shared" si="49"/>
        <v>0.4</v>
      </c>
      <c r="I52" s="30">
        <f t="shared" si="49"/>
        <v>0.4</v>
      </c>
      <c r="J52" s="30">
        <f t="shared" si="49"/>
        <v>0.4</v>
      </c>
      <c r="K52" s="30">
        <f t="shared" si="49"/>
        <v>0.4</v>
      </c>
      <c r="L52" s="30">
        <f t="shared" si="49"/>
        <v>0.4</v>
      </c>
      <c r="M52" s="30">
        <f t="shared" si="49"/>
        <v>0.4</v>
      </c>
      <c r="N52" s="30">
        <f t="shared" si="49"/>
        <v>0.4</v>
      </c>
      <c r="O52" s="30">
        <f t="shared" si="49"/>
        <v>0.4</v>
      </c>
      <c r="P52" s="30">
        <f t="shared" si="49"/>
        <v>0.4</v>
      </c>
      <c r="Q52" s="30">
        <f t="shared" si="49"/>
        <v>0.4</v>
      </c>
      <c r="R52" s="30">
        <f t="shared" si="49"/>
        <v>0.4</v>
      </c>
      <c r="S52" s="30">
        <f t="shared" si="49"/>
        <v>0.4</v>
      </c>
      <c r="T52" s="30">
        <f t="shared" si="44"/>
        <v>0.4</v>
      </c>
      <c r="U52" s="30">
        <f t="shared" si="45"/>
        <v>0.4</v>
      </c>
      <c r="V52" s="30">
        <f t="shared" si="46"/>
        <v>0.4</v>
      </c>
    </row>
    <row r="54" spans="1:22" x14ac:dyDescent="0.25">
      <c r="A54" s="27" t="s">
        <v>142</v>
      </c>
    </row>
    <row r="55" spans="1:22" x14ac:dyDescent="0.25">
      <c r="A55" s="26" t="s">
        <v>88</v>
      </c>
      <c r="B55" s="26">
        <v>2012</v>
      </c>
      <c r="C55" s="26">
        <f>B55+1</f>
        <v>2013</v>
      </c>
      <c r="D55" s="26">
        <f t="shared" ref="D55" si="50">C55+1</f>
        <v>2014</v>
      </c>
      <c r="E55" s="26">
        <f t="shared" ref="E55" si="51">D55+1</f>
        <v>2015</v>
      </c>
      <c r="F55" s="26">
        <f t="shared" ref="F55" si="52">E55+1</f>
        <v>2016</v>
      </c>
      <c r="G55" s="26">
        <f t="shared" ref="G55" si="53">F55+1</f>
        <v>2017</v>
      </c>
      <c r="H55" s="26">
        <f t="shared" ref="H55" si="54">G55+1</f>
        <v>2018</v>
      </c>
      <c r="I55" s="26">
        <f t="shared" ref="I55" si="55">H55+1</f>
        <v>2019</v>
      </c>
      <c r="J55" s="26">
        <f t="shared" ref="J55" si="56">I55+1</f>
        <v>2020</v>
      </c>
      <c r="K55" s="26">
        <f t="shared" ref="K55" si="57">J55+1</f>
        <v>2021</v>
      </c>
      <c r="L55" s="26">
        <f t="shared" ref="L55" si="58">K55+1</f>
        <v>2022</v>
      </c>
      <c r="M55" s="26">
        <f t="shared" ref="M55" si="59">L55+1</f>
        <v>2023</v>
      </c>
      <c r="N55" s="26">
        <f t="shared" ref="N55" si="60">M55+1</f>
        <v>2024</v>
      </c>
      <c r="O55" s="26">
        <f t="shared" ref="O55" si="61">N55+1</f>
        <v>2025</v>
      </c>
      <c r="P55" s="26">
        <f t="shared" ref="P55" si="62">O55+1</f>
        <v>2026</v>
      </c>
      <c r="Q55" s="26">
        <f t="shared" ref="Q55" si="63">P55+1</f>
        <v>2027</v>
      </c>
      <c r="R55" s="26">
        <f t="shared" ref="R55:S55" si="64">Q55+1</f>
        <v>2028</v>
      </c>
      <c r="S55" s="26">
        <f t="shared" si="64"/>
        <v>2029</v>
      </c>
      <c r="T55" s="26">
        <f t="shared" ref="T55" si="65">S55+1</f>
        <v>2030</v>
      </c>
      <c r="U55" s="26">
        <f t="shared" ref="U55" si="66">T55+1</f>
        <v>2031</v>
      </c>
      <c r="V55" s="26">
        <f t="shared" ref="V55" si="67">U55+1</f>
        <v>2032</v>
      </c>
    </row>
    <row r="56" spans="1:22" x14ac:dyDescent="0.25">
      <c r="A56" s="21" t="s">
        <v>123</v>
      </c>
      <c r="B56" s="25">
        <f t="shared" ref="B56:S56" si="68">B3*B30</f>
        <v>130</v>
      </c>
      <c r="C56" s="25">
        <f t="shared" si="68"/>
        <v>128.7241790799111</v>
      </c>
      <c r="D56" s="25">
        <f t="shared" si="68"/>
        <v>127.46087907536173</v>
      </c>
      <c r="E56" s="25">
        <f t="shared" si="68"/>
        <v>140.52995527764025</v>
      </c>
      <c r="F56" s="25">
        <f t="shared" si="68"/>
        <v>146.69630387718951</v>
      </c>
      <c r="G56" s="45">
        <f t="shared" si="68"/>
        <v>145.17600472347962</v>
      </c>
      <c r="H56" s="25">
        <f t="shared" si="68"/>
        <v>143.64000000000001</v>
      </c>
      <c r="I56" s="25">
        <f t="shared" si="68"/>
        <v>155.19938201141508</v>
      </c>
      <c r="J56" s="25">
        <f t="shared" si="68"/>
        <v>153.49789017909862</v>
      </c>
      <c r="K56" s="25">
        <f t="shared" si="68"/>
        <v>151.82041133635113</v>
      </c>
      <c r="L56" s="25">
        <f t="shared" si="68"/>
        <v>150.16351505609134</v>
      </c>
      <c r="M56" s="45">
        <f t="shared" si="68"/>
        <v>148.52034048415669</v>
      </c>
      <c r="N56" s="25">
        <f t="shared" si="68"/>
        <v>146.88402676638458</v>
      </c>
      <c r="O56" s="25">
        <f t="shared" si="68"/>
        <v>145.23399134028736</v>
      </c>
      <c r="P56" s="25">
        <f t="shared" si="68"/>
        <v>143.57709506002757</v>
      </c>
      <c r="Q56" s="25">
        <f t="shared" si="68"/>
        <v>141.90990749852392</v>
      </c>
      <c r="R56" s="25">
        <f t="shared" si="68"/>
        <v>140.22556780161386</v>
      </c>
      <c r="S56" s="25">
        <f t="shared" si="68"/>
        <v>138.58239322967921</v>
      </c>
      <c r="T56" s="25">
        <f t="shared" ref="T56:V56" si="69">T3*T30</f>
        <v>136.95847351059473</v>
      </c>
      <c r="U56" s="25">
        <f t="shared" si="69"/>
        <v>135.3535830144337</v>
      </c>
      <c r="V56" s="25">
        <f t="shared" si="69"/>
        <v>133.76749875521912</v>
      </c>
    </row>
    <row r="57" spans="1:22" x14ac:dyDescent="0.25">
      <c r="A57" s="21" t="s">
        <v>124</v>
      </c>
      <c r="B57" s="25">
        <f t="shared" ref="B57:S57" si="70">B4*B31</f>
        <v>75</v>
      </c>
      <c r="C57" s="25">
        <f t="shared" si="70"/>
        <v>74.263949469179494</v>
      </c>
      <c r="D57" s="25">
        <f t="shared" si="70"/>
        <v>73.535122543477925</v>
      </c>
      <c r="E57" s="25">
        <f t="shared" si="70"/>
        <v>72.813448330383551</v>
      </c>
      <c r="F57" s="25">
        <f t="shared" si="70"/>
        <v>69.414956865446442</v>
      </c>
      <c r="G57" s="25">
        <f t="shared" si="70"/>
        <v>68.695569277701239</v>
      </c>
      <c r="H57" s="25">
        <f t="shared" si="70"/>
        <v>67.96875</v>
      </c>
      <c r="I57" s="25">
        <f t="shared" si="70"/>
        <v>67.244903398281181</v>
      </c>
      <c r="J57" s="25">
        <f t="shared" si="70"/>
        <v>66.507679754641472</v>
      </c>
      <c r="K57" s="25">
        <f t="shared" si="70"/>
        <v>65.780860476940234</v>
      </c>
      <c r="L57" s="25">
        <f t="shared" si="70"/>
        <v>65.062959227186255</v>
      </c>
      <c r="M57" s="25">
        <f t="shared" si="70"/>
        <v>64.351003329397102</v>
      </c>
      <c r="N57" s="25">
        <f t="shared" si="70"/>
        <v>63.642020107590376</v>
      </c>
      <c r="O57" s="25">
        <f t="shared" si="70"/>
        <v>62.927091533818803</v>
      </c>
      <c r="P57" s="25">
        <f t="shared" si="70"/>
        <v>62.209190284064817</v>
      </c>
      <c r="Q57" s="25">
        <f t="shared" si="70"/>
        <v>61.486830020337202</v>
      </c>
      <c r="R57" s="25">
        <f t="shared" si="70"/>
        <v>60.757038066653543</v>
      </c>
      <c r="S57" s="25">
        <f t="shared" si="70"/>
        <v>60.045082168864397</v>
      </c>
      <c r="T57" s="25">
        <f t="shared" ref="T57:V57" si="71">T4*T31</f>
        <v>59.341469028005577</v>
      </c>
      <c r="U57" s="25">
        <f t="shared" si="71"/>
        <v>58.646100882975006</v>
      </c>
      <c r="V57" s="25">
        <f t="shared" si="71"/>
        <v>57.958881118243134</v>
      </c>
    </row>
    <row r="58" spans="1:22" x14ac:dyDescent="0.25">
      <c r="A58" s="21" t="s">
        <v>125</v>
      </c>
      <c r="B58" s="25">
        <f t="shared" ref="B58:S58" si="72">B5*B32</f>
        <v>234.99999999999997</v>
      </c>
      <c r="C58" s="25">
        <f t="shared" si="72"/>
        <v>232.6937083367624</v>
      </c>
      <c r="D58" s="25">
        <f t="shared" si="72"/>
        <v>230.41005063623084</v>
      </c>
      <c r="E58" s="25">
        <f t="shared" si="72"/>
        <v>228.14880476853514</v>
      </c>
      <c r="F58" s="25">
        <f t="shared" si="72"/>
        <v>284.07242904939972</v>
      </c>
      <c r="G58" s="25">
        <f t="shared" si="72"/>
        <v>281.12842117693367</v>
      </c>
      <c r="H58" s="25">
        <f t="shared" si="72"/>
        <v>278.154</v>
      </c>
      <c r="I58" s="25">
        <f t="shared" si="72"/>
        <v>275.19174414485337</v>
      </c>
      <c r="J58" s="25">
        <f t="shared" si="72"/>
        <v>272.17474434166502</v>
      </c>
      <c r="K58" s="25">
        <f t="shared" si="72"/>
        <v>269.20032316473134</v>
      </c>
      <c r="L58" s="25">
        <f t="shared" si="72"/>
        <v>266.26239795315882</v>
      </c>
      <c r="M58" s="25">
        <f t="shared" si="72"/>
        <v>263.34880338516047</v>
      </c>
      <c r="N58" s="25">
        <f t="shared" si="72"/>
        <v>260.44737413894904</v>
      </c>
      <c r="O58" s="25">
        <f t="shared" si="72"/>
        <v>257.52161424916358</v>
      </c>
      <c r="P58" s="25">
        <f t="shared" si="72"/>
        <v>254.58368903759106</v>
      </c>
      <c r="Q58" s="25">
        <f t="shared" si="72"/>
        <v>251.62751584333796</v>
      </c>
      <c r="R58" s="25">
        <f t="shared" si="72"/>
        <v>248.64092934461726</v>
      </c>
      <c r="S58" s="25">
        <f t="shared" si="72"/>
        <v>245.72733477661882</v>
      </c>
      <c r="T58" s="25">
        <f t="shared" ref="T58:V58" si="73">T5*T32</f>
        <v>242.84788194598056</v>
      </c>
      <c r="U58" s="25">
        <f t="shared" si="73"/>
        <v>240.00217077705611</v>
      </c>
      <c r="V58" s="25">
        <f t="shared" si="73"/>
        <v>237.18980588231798</v>
      </c>
    </row>
    <row r="59" spans="1:22" x14ac:dyDescent="0.25">
      <c r="A59" s="21" t="s">
        <v>126</v>
      </c>
      <c r="B59" s="25">
        <f t="shared" ref="B59:S59" si="74">B6*B33</f>
        <v>633</v>
      </c>
      <c r="C59" s="25">
        <f t="shared" si="74"/>
        <v>626.78773351987491</v>
      </c>
      <c r="D59" s="25">
        <f t="shared" si="74"/>
        <v>620.63643426695376</v>
      </c>
      <c r="E59" s="25">
        <f t="shared" si="74"/>
        <v>614.54550390843724</v>
      </c>
      <c r="F59" s="25">
        <f t="shared" si="74"/>
        <v>564.76647204181165</v>
      </c>
      <c r="G59" s="25">
        <f t="shared" si="74"/>
        <v>558.91346847733394</v>
      </c>
      <c r="H59" s="25">
        <f t="shared" si="74"/>
        <v>553</v>
      </c>
      <c r="I59" s="25">
        <f t="shared" si="74"/>
        <v>547.11071748780864</v>
      </c>
      <c r="J59" s="25">
        <f t="shared" si="74"/>
        <v>541.11259813247614</v>
      </c>
      <c r="K59" s="25">
        <f t="shared" si="74"/>
        <v>535.19912965514231</v>
      </c>
      <c r="L59" s="25">
        <f t="shared" si="74"/>
        <v>529.35821907323589</v>
      </c>
      <c r="M59" s="25">
        <f t="shared" si="74"/>
        <v>523.56568042161439</v>
      </c>
      <c r="N59" s="25">
        <f t="shared" si="74"/>
        <v>517.79732773513535</v>
      </c>
      <c r="O59" s="25">
        <f t="shared" si="74"/>
        <v>511.98060311837133</v>
      </c>
      <c r="P59" s="25">
        <f t="shared" si="74"/>
        <v>506.13969253646491</v>
      </c>
      <c r="Q59" s="25">
        <f t="shared" si="74"/>
        <v>500.26250300684472</v>
      </c>
      <c r="R59" s="25">
        <f t="shared" si="74"/>
        <v>494.32484856436844</v>
      </c>
      <c r="S59" s="25">
        <f t="shared" si="74"/>
        <v>488.53230991274694</v>
      </c>
      <c r="T59" s="25">
        <f t="shared" ref="T59:V59" si="75">T6*T33</f>
        <v>482.80764869866067</v>
      </c>
      <c r="U59" s="25">
        <f t="shared" si="75"/>
        <v>477.15006952879355</v>
      </c>
      <c r="V59" s="25">
        <f t="shared" si="75"/>
        <v>471.55878633031296</v>
      </c>
    </row>
    <row r="60" spans="1:22" x14ac:dyDescent="0.25">
      <c r="A60" s="21" t="s">
        <v>314</v>
      </c>
      <c r="B60" s="25"/>
      <c r="C60" s="25"/>
      <c r="D60" s="25"/>
      <c r="E60" s="25"/>
      <c r="F60" s="25">
        <f>F7*F34</f>
        <v>0</v>
      </c>
      <c r="G60" s="25">
        <f t="shared" ref="G60:S60" si="76">G7*G34</f>
        <v>0</v>
      </c>
      <c r="H60" s="25">
        <f t="shared" si="76"/>
        <v>0</v>
      </c>
      <c r="I60" s="25">
        <f t="shared" si="76"/>
        <v>0</v>
      </c>
      <c r="J60" s="109">
        <f t="shared" si="76"/>
        <v>0</v>
      </c>
      <c r="K60" s="109">
        <f t="shared" si="76"/>
        <v>0</v>
      </c>
      <c r="L60" s="109">
        <f t="shared" si="76"/>
        <v>0</v>
      </c>
      <c r="M60" s="109">
        <f t="shared" si="76"/>
        <v>57.942530997835064</v>
      </c>
      <c r="N60" s="109">
        <f t="shared" si="76"/>
        <v>114.60830545168272</v>
      </c>
      <c r="O60" s="109">
        <f t="shared" si="76"/>
        <v>169.98126353080099</v>
      </c>
      <c r="P60" s="109">
        <f t="shared" si="76"/>
        <v>168.04203896870692</v>
      </c>
      <c r="Q60" s="109">
        <f t="shared" si="76"/>
        <v>166.09076953355634</v>
      </c>
      <c r="R60" s="109">
        <f t="shared" si="76"/>
        <v>164.11942530997834</v>
      </c>
      <c r="S60" s="109">
        <f t="shared" si="76"/>
        <v>162.19626057862624</v>
      </c>
      <c r="T60" s="109">
        <f t="shared" ref="T60:V60" si="77">T7*T34</f>
        <v>160.29563164751187</v>
      </c>
      <c r="U60" s="109">
        <f t="shared" si="77"/>
        <v>158.41727444030101</v>
      </c>
      <c r="V60" s="109">
        <f t="shared" si="77"/>
        <v>156.56092797512736</v>
      </c>
    </row>
    <row r="61" spans="1:22" x14ac:dyDescent="0.25">
      <c r="A61" s="21" t="s">
        <v>127</v>
      </c>
      <c r="B61" s="25">
        <f t="shared" ref="B61:S61" si="78">B8*B35</f>
        <v>202</v>
      </c>
      <c r="C61" s="25">
        <f t="shared" si="78"/>
        <v>200.01757057032341</v>
      </c>
      <c r="D61" s="25">
        <f t="shared" si="78"/>
        <v>198.05459671710054</v>
      </c>
      <c r="E61" s="25">
        <f t="shared" si="78"/>
        <v>196.11088750316634</v>
      </c>
      <c r="F61" s="25">
        <f t="shared" si="78"/>
        <v>193.14400577314177</v>
      </c>
      <c r="G61" s="45">
        <f t="shared" si="78"/>
        <v>191.14234205864986</v>
      </c>
      <c r="H61" s="25">
        <f t="shared" si="78"/>
        <v>189.12</v>
      </c>
      <c r="I61" s="25">
        <f t="shared" si="78"/>
        <v>187.10592927901331</v>
      </c>
      <c r="J61" s="109">
        <f t="shared" si="78"/>
        <v>192.76524743598154</v>
      </c>
      <c r="K61" s="109">
        <f t="shared" si="78"/>
        <v>190.65864112488791</v>
      </c>
      <c r="L61" s="109">
        <f t="shared" si="78"/>
        <v>188.57788274399175</v>
      </c>
      <c r="M61" s="109">
        <f t="shared" si="78"/>
        <v>186.51435631656059</v>
      </c>
      <c r="N61" s="109">
        <f t="shared" si="78"/>
        <v>184.45944586586191</v>
      </c>
      <c r="O61" s="109">
        <f t="shared" si="78"/>
        <v>182.38730346169825</v>
      </c>
      <c r="P61" s="109">
        <f t="shared" si="78"/>
        <v>180.3065450808021</v>
      </c>
      <c r="Q61" s="109">
        <f t="shared" si="78"/>
        <v>178.2128627348072</v>
      </c>
      <c r="R61" s="109">
        <f t="shared" si="78"/>
        <v>176.0976404469811</v>
      </c>
      <c r="S61" s="109">
        <f t="shared" si="78"/>
        <v>174.03411401954995</v>
      </c>
      <c r="T61" s="109">
        <f>T8*T35</f>
        <v>171.99476816209062</v>
      </c>
      <c r="U61" s="109">
        <f t="shared" ref="U61:V61" si="79">U8*U35</f>
        <v>169.97931952472385</v>
      </c>
      <c r="V61" s="109">
        <f t="shared" si="79"/>
        <v>167.98748807788718</v>
      </c>
    </row>
    <row r="62" spans="1:22" x14ac:dyDescent="0.25">
      <c r="A62" s="21" t="s">
        <v>128</v>
      </c>
      <c r="B62" s="25">
        <f t="shared" ref="B62:S62" si="80">B9*B36</f>
        <v>31.349999999999998</v>
      </c>
      <c r="C62" s="25">
        <f t="shared" si="80"/>
        <v>31.042330878117024</v>
      </c>
      <c r="D62" s="25">
        <f t="shared" si="80"/>
        <v>30.737681223173773</v>
      </c>
      <c r="E62" s="25">
        <f t="shared" si="80"/>
        <v>30.436021402100323</v>
      </c>
      <c r="F62" s="25">
        <f t="shared" si="80"/>
        <v>27.95518584013606</v>
      </c>
      <c r="G62" s="25">
        <f t="shared" si="80"/>
        <v>27.665469983285693</v>
      </c>
      <c r="H62" s="25">
        <f t="shared" si="80"/>
        <v>27.372761194029849</v>
      </c>
      <c r="I62" s="25">
        <f t="shared" si="80"/>
        <v>27.081249577736195</v>
      </c>
      <c r="J62" s="109">
        <f t="shared" si="80"/>
        <v>26.784350683112677</v>
      </c>
      <c r="K62" s="109">
        <f t="shared" si="80"/>
        <v>26.49164189385683</v>
      </c>
      <c r="L62" s="109">
        <f t="shared" si="80"/>
        <v>26.202524623487559</v>
      </c>
      <c r="M62" s="109">
        <f t="shared" si="80"/>
        <v>25.915801699042671</v>
      </c>
      <c r="N62" s="109">
        <f t="shared" si="80"/>
        <v>25.630275947559973</v>
      </c>
      <c r="O62" s="109">
        <f t="shared" si="80"/>
        <v>25.342355850152895</v>
      </c>
      <c r="P62" s="109">
        <f t="shared" si="80"/>
        <v>25.053238579783624</v>
      </c>
      <c r="Q62" s="109">
        <f t="shared" si="80"/>
        <v>24.76232554997106</v>
      </c>
      <c r="R62" s="109">
        <f t="shared" si="80"/>
        <v>24.468419587753026</v>
      </c>
      <c r="S62" s="109">
        <f t="shared" si="80"/>
        <v>24.181696663308138</v>
      </c>
      <c r="T62" s="109">
        <f t="shared" ref="T62:V62" si="81">T9*T36</f>
        <v>23.898333581337237</v>
      </c>
      <c r="U62" s="109">
        <f t="shared" si="81"/>
        <v>23.618290970933817</v>
      </c>
      <c r="V62" s="109">
        <f t="shared" si="81"/>
        <v>23.341529922542854</v>
      </c>
    </row>
    <row r="63" spans="1:22" x14ac:dyDescent="0.25">
      <c r="A63" s="21" t="s">
        <v>129</v>
      </c>
      <c r="B63" s="25">
        <f t="shared" ref="B63:S63" si="82">B10*B37+90</f>
        <v>147</v>
      </c>
      <c r="C63" s="25">
        <f t="shared" si="82"/>
        <v>146.44060159657641</v>
      </c>
      <c r="D63" s="25">
        <f t="shared" si="82"/>
        <v>145.88669313304322</v>
      </c>
      <c r="E63" s="25">
        <f t="shared" si="82"/>
        <v>145.3382207310915</v>
      </c>
      <c r="F63" s="25">
        <f t="shared" si="82"/>
        <v>147.26882733944336</v>
      </c>
      <c r="G63" s="25">
        <f t="shared" si="82"/>
        <v>146.67531715931636</v>
      </c>
      <c r="H63" s="25">
        <f t="shared" si="82"/>
        <v>146.07567567567568</v>
      </c>
      <c r="I63" s="25">
        <f t="shared" si="82"/>
        <v>145.47848671344047</v>
      </c>
      <c r="J63" s="109">
        <f t="shared" si="82"/>
        <v>144.87026140488058</v>
      </c>
      <c r="K63" s="109">
        <f t="shared" si="82"/>
        <v>144.27061992123987</v>
      </c>
      <c r="L63" s="109">
        <f t="shared" si="82"/>
        <v>143.67833600181564</v>
      </c>
      <c r="M63" s="109">
        <f t="shared" si="82"/>
        <v>143.09095712520235</v>
      </c>
      <c r="N63" s="109">
        <f t="shared" si="82"/>
        <v>142.50603076999457</v>
      </c>
      <c r="O63" s="109">
        <f t="shared" si="82"/>
        <v>141.91619937197578</v>
      </c>
      <c r="P63" s="109">
        <f t="shared" si="82"/>
        <v>141.32391545255155</v>
      </c>
      <c r="Q63" s="109">
        <f t="shared" si="82"/>
        <v>140.72795275101907</v>
      </c>
      <c r="R63" s="109">
        <f t="shared" si="82"/>
        <v>140.12585874597289</v>
      </c>
      <c r="S63" s="109">
        <f t="shared" si="82"/>
        <v>139.53847986935961</v>
      </c>
      <c r="T63" s="109">
        <f t="shared" ref="T63:V63" si="83">T10*T37+90</f>
        <v>138.95798394604276</v>
      </c>
      <c r="U63" s="109">
        <f t="shared" si="83"/>
        <v>138.38429032101757</v>
      </c>
      <c r="V63" s="109">
        <f t="shared" si="83"/>
        <v>137.81731928440121</v>
      </c>
    </row>
    <row r="64" spans="1:22" x14ac:dyDescent="0.25">
      <c r="A64" s="21" t="s">
        <v>130</v>
      </c>
      <c r="B64" s="25">
        <f t="shared" ref="B64:S64" si="84">B11*B38</f>
        <v>92.149999999999991</v>
      </c>
      <c r="C64" s="25">
        <f t="shared" si="84"/>
        <v>91.245639247798522</v>
      </c>
      <c r="D64" s="25">
        <f t="shared" si="84"/>
        <v>90.350153898419876</v>
      </c>
      <c r="E64" s="25">
        <f t="shared" si="84"/>
        <v>89.463456848597914</v>
      </c>
      <c r="F64" s="25">
        <f t="shared" si="84"/>
        <v>52.667282031096242</v>
      </c>
      <c r="G64" s="25">
        <f t="shared" si="84"/>
        <v>52.121460342452281</v>
      </c>
      <c r="H64" s="25">
        <f t="shared" si="84"/>
        <v>51.57</v>
      </c>
      <c r="I64" s="25">
        <f t="shared" si="84"/>
        <v>51.020795119071053</v>
      </c>
      <c r="J64" s="109">
        <f t="shared" si="84"/>
        <v>50.461440661287149</v>
      </c>
      <c r="K64" s="109">
        <f t="shared" si="84"/>
        <v>49.909980318834876</v>
      </c>
      <c r="L64" s="109">
        <f t="shared" si="84"/>
        <v>49.365286360952574</v>
      </c>
      <c r="M64" s="109">
        <f t="shared" si="84"/>
        <v>48.825103326116917</v>
      </c>
      <c r="N64" s="109">
        <f t="shared" si="84"/>
        <v>48.287175752804572</v>
      </c>
      <c r="O64" s="109">
        <f t="shared" si="84"/>
        <v>47.744737256445589</v>
      </c>
      <c r="P64" s="109">
        <f t="shared" si="84"/>
        <v>47.200043298563287</v>
      </c>
      <c r="Q64" s="109">
        <f t="shared" si="84"/>
        <v>46.651966148395992</v>
      </c>
      <c r="R64" s="109">
        <f t="shared" si="84"/>
        <v>46.0982503444204</v>
      </c>
      <c r="S64" s="109">
        <f t="shared" si="84"/>
        <v>45.558067309584736</v>
      </c>
      <c r="T64" s="109">
        <f t="shared" ref="T64:V64" si="85">T11*T38</f>
        <v>45.024214183345258</v>
      </c>
      <c r="U64" s="109">
        <f t="shared" si="85"/>
        <v>44.496616791319859</v>
      </c>
      <c r="V64" s="109">
        <f t="shared" si="85"/>
        <v>43.975201828307846</v>
      </c>
    </row>
    <row r="65" spans="1:22" x14ac:dyDescent="0.25">
      <c r="A65" s="21" t="s">
        <v>131</v>
      </c>
      <c r="B65" s="25">
        <f t="shared" ref="B65:S65" si="86">B12*B39</f>
        <v>320</v>
      </c>
      <c r="C65" s="25">
        <f t="shared" si="86"/>
        <v>316.85951773516581</v>
      </c>
      <c r="D65" s="25">
        <f t="shared" si="86"/>
        <v>313.74985618550579</v>
      </c>
      <c r="E65" s="25">
        <f t="shared" si="86"/>
        <v>310.67071287630313</v>
      </c>
      <c r="F65" s="25">
        <f t="shared" si="86"/>
        <v>379.17991996326185</v>
      </c>
      <c r="G65" s="25">
        <f t="shared" si="86"/>
        <v>375.25025782326315</v>
      </c>
      <c r="H65" s="25">
        <f t="shared" si="86"/>
        <v>371.28000000000003</v>
      </c>
      <c r="I65" s="25">
        <f t="shared" si="86"/>
        <v>367.32598045004266</v>
      </c>
      <c r="J65" s="109">
        <f t="shared" si="86"/>
        <v>363.29888867020929</v>
      </c>
      <c r="K65" s="109">
        <f t="shared" si="86"/>
        <v>359.32863084694611</v>
      </c>
      <c r="L65" s="109">
        <f t="shared" si="86"/>
        <v>355.40708784360032</v>
      </c>
      <c r="M65" s="109">
        <f t="shared" si="86"/>
        <v>351.51802138686611</v>
      </c>
      <c r="N65" s="109">
        <f t="shared" si="86"/>
        <v>347.64519320343766</v>
      </c>
      <c r="O65" s="109">
        <f t="shared" si="86"/>
        <v>343.73988847339757</v>
      </c>
      <c r="P65" s="109">
        <f t="shared" si="86"/>
        <v>339.81834547005178</v>
      </c>
      <c r="Q65" s="109">
        <f t="shared" si="86"/>
        <v>335.87244505674732</v>
      </c>
      <c r="R65" s="109">
        <f t="shared" si="86"/>
        <v>331.88594896017844</v>
      </c>
      <c r="S65" s="109">
        <f t="shared" si="86"/>
        <v>327.99688250344423</v>
      </c>
      <c r="T65" s="109">
        <f t="shared" ref="T65:V65" si="87">T12*T39</f>
        <v>324.15338844274629</v>
      </c>
      <c r="U65" s="109">
        <f t="shared" si="87"/>
        <v>320.35493275705318</v>
      </c>
      <c r="V65" s="109">
        <f t="shared" si="87"/>
        <v>316.60098768303533</v>
      </c>
    </row>
    <row r="66" spans="1:22" x14ac:dyDescent="0.25">
      <c r="A66" s="21" t="s">
        <v>132</v>
      </c>
      <c r="B66" s="25">
        <f t="shared" ref="B66:S66" si="88">B13*B40</f>
        <v>90.25</v>
      </c>
      <c r="C66" s="25">
        <f t="shared" si="88"/>
        <v>89.364285861245975</v>
      </c>
      <c r="D66" s="25">
        <f t="shared" si="88"/>
        <v>88.487264127318426</v>
      </c>
      <c r="E66" s="25">
        <f t="shared" si="88"/>
        <v>87.61884949089486</v>
      </c>
      <c r="F66" s="25">
        <f t="shared" si="88"/>
        <v>92.170296748234151</v>
      </c>
      <c r="G66" s="25">
        <f t="shared" si="88"/>
        <v>91.215082332874104</v>
      </c>
      <c r="H66" s="25">
        <f t="shared" si="88"/>
        <v>90.25</v>
      </c>
      <c r="I66" s="25">
        <f t="shared" si="88"/>
        <v>89.288864834131516</v>
      </c>
      <c r="J66" s="109">
        <f t="shared" si="88"/>
        <v>88.309967416737734</v>
      </c>
      <c r="K66" s="109">
        <f t="shared" si="88"/>
        <v>87.34488508386363</v>
      </c>
      <c r="L66" s="109">
        <f t="shared" si="88"/>
        <v>86.391644252006387</v>
      </c>
      <c r="M66" s="109">
        <f t="shared" si="88"/>
        <v>85.446297754160383</v>
      </c>
      <c r="N66" s="109">
        <f t="shared" si="88"/>
        <v>84.50489842332</v>
      </c>
      <c r="O66" s="109">
        <f t="shared" si="88"/>
        <v>83.555604758468377</v>
      </c>
      <c r="P66" s="109">
        <f t="shared" si="88"/>
        <v>82.602363926611133</v>
      </c>
      <c r="Q66" s="109">
        <f t="shared" si="88"/>
        <v>81.643202344245466</v>
      </c>
      <c r="R66" s="109">
        <f t="shared" si="88"/>
        <v>80.674172844365742</v>
      </c>
      <c r="S66" s="109">
        <f t="shared" si="88"/>
        <v>79.728826346519739</v>
      </c>
      <c r="T66" s="109">
        <f t="shared" ref="T66:V66" si="89">T13*T40</f>
        <v>78.794557495577081</v>
      </c>
      <c r="U66" s="109">
        <f t="shared" si="89"/>
        <v>77.87123648277327</v>
      </c>
      <c r="V66" s="109">
        <f t="shared" si="89"/>
        <v>76.958735020453432</v>
      </c>
    </row>
    <row r="67" spans="1:22" x14ac:dyDescent="0.25">
      <c r="A67" s="21" t="s">
        <v>133</v>
      </c>
      <c r="B67" s="25">
        <f t="shared" ref="B67:S67" si="90">B14*B41</f>
        <v>94.05</v>
      </c>
      <c r="C67" s="25">
        <f t="shared" si="90"/>
        <v>93.126992634351083</v>
      </c>
      <c r="D67" s="25">
        <f t="shared" si="90"/>
        <v>92.213043669521326</v>
      </c>
      <c r="E67" s="25">
        <f t="shared" si="90"/>
        <v>91.308064206300983</v>
      </c>
      <c r="F67" s="25">
        <f t="shared" si="90"/>
        <v>128.51756390911675</v>
      </c>
      <c r="G67" s="25">
        <f t="shared" si="90"/>
        <v>130.07624483369415</v>
      </c>
      <c r="H67" s="25">
        <f t="shared" si="90"/>
        <v>128.70000000000002</v>
      </c>
      <c r="I67" s="25">
        <f t="shared" si="90"/>
        <v>127.32938397953158</v>
      </c>
      <c r="J67" s="109">
        <f t="shared" si="90"/>
        <v>125.93343829954733</v>
      </c>
      <c r="K67" s="109">
        <f t="shared" si="90"/>
        <v>124.55719346585316</v>
      </c>
      <c r="L67" s="109">
        <f t="shared" si="90"/>
        <v>123.19783507183625</v>
      </c>
      <c r="M67" s="109">
        <f t="shared" si="90"/>
        <v>121.84973430427083</v>
      </c>
      <c r="N67" s="109">
        <f t="shared" si="90"/>
        <v>120.50726234993112</v>
      </c>
      <c r="O67" s="109">
        <f t="shared" si="90"/>
        <v>119.15353276913993</v>
      </c>
      <c r="P67" s="109">
        <f t="shared" si="90"/>
        <v>117.79417437512301</v>
      </c>
      <c r="Q67" s="109">
        <f t="shared" si="90"/>
        <v>116.42637276126746</v>
      </c>
      <c r="R67" s="109">
        <f t="shared" si="90"/>
        <v>115.04449911434756</v>
      </c>
      <c r="S67" s="109">
        <f t="shared" si="90"/>
        <v>113.69639834678213</v>
      </c>
      <c r="T67" s="109">
        <f t="shared" ref="T67:V67" si="91">T14*T41</f>
        <v>112.36409473330491</v>
      </c>
      <c r="U67" s="109">
        <f t="shared" si="91"/>
        <v>111.04740316158357</v>
      </c>
      <c r="V67" s="109">
        <f t="shared" si="91"/>
        <v>109.74614068844711</v>
      </c>
    </row>
    <row r="68" spans="1:22" x14ac:dyDescent="0.25">
      <c r="A68" s="21" t="s">
        <v>134</v>
      </c>
      <c r="B68" s="25">
        <f t="shared" ref="B68:S68" si="92">B15*B42</f>
        <v>72</v>
      </c>
      <c r="C68" s="25">
        <f t="shared" si="92"/>
        <v>71.293391490412304</v>
      </c>
      <c r="D68" s="25">
        <f t="shared" si="92"/>
        <v>70.593717641738806</v>
      </c>
      <c r="E68" s="25">
        <f t="shared" si="92"/>
        <v>69.900910397168204</v>
      </c>
      <c r="F68" s="25">
        <f t="shared" si="92"/>
        <v>37.920034551378784</v>
      </c>
      <c r="G68" s="25">
        <f t="shared" si="92"/>
        <v>37.527047169192421</v>
      </c>
      <c r="H68" s="25">
        <f t="shared" si="92"/>
        <v>37.129999999999995</v>
      </c>
      <c r="I68" s="25">
        <f t="shared" si="92"/>
        <v>36.734576745610006</v>
      </c>
      <c r="J68" s="109">
        <f t="shared" si="92"/>
        <v>36.331845874609108</v>
      </c>
      <c r="K68" s="109">
        <f t="shared" si="92"/>
        <v>35.934798705416689</v>
      </c>
      <c r="L68" s="109">
        <f t="shared" si="92"/>
        <v>35.542623280631538</v>
      </c>
      <c r="M68" s="109">
        <f t="shared" si="92"/>
        <v>35.15369568545124</v>
      </c>
      <c r="N68" s="109">
        <f t="shared" si="92"/>
        <v>34.766392005073364</v>
      </c>
      <c r="O68" s="109">
        <f t="shared" si="92"/>
        <v>34.375840495090642</v>
      </c>
      <c r="P68" s="109">
        <f t="shared" si="92"/>
        <v>33.983665070305491</v>
      </c>
      <c r="Q68" s="109">
        <f t="shared" si="92"/>
        <v>33.589053773316714</v>
      </c>
      <c r="R68" s="109">
        <f t="shared" si="92"/>
        <v>33.190382689321879</v>
      </c>
      <c r="S68" s="109">
        <f t="shared" si="92"/>
        <v>32.801455094141573</v>
      </c>
      <c r="T68" s="109">
        <f t="shared" ref="T68:V68" si="93">T15*T42</f>
        <v>32.417084984052927</v>
      </c>
      <c r="U68" s="109">
        <f t="shared" si="93"/>
        <v>32.037218954076131</v>
      </c>
      <c r="V68" s="109">
        <f t="shared" si="93"/>
        <v>31.661804225035294</v>
      </c>
    </row>
    <row r="69" spans="1:22" x14ac:dyDescent="0.25">
      <c r="A69" s="21" t="s">
        <v>239</v>
      </c>
      <c r="B69" s="25">
        <f>B16*B43+150</f>
        <v>215.1</v>
      </c>
      <c r="C69" s="25">
        <f>C16*C43+150</f>
        <v>214.46110813924781</v>
      </c>
      <c r="D69" s="25">
        <f>D16*D43+150</f>
        <v>213.82848636773883</v>
      </c>
      <c r="E69" s="25">
        <f>E16*E43+150</f>
        <v>213.20207315077292</v>
      </c>
      <c r="F69" s="25">
        <f>F16*F43+150</f>
        <v>211.88941809355114</v>
      </c>
      <c r="G69" s="25">
        <v>204</v>
      </c>
      <c r="H69" s="25">
        <f t="shared" ref="H69:S69" si="94">H16*H43+150</f>
        <v>210.6</v>
      </c>
      <c r="I69" s="25">
        <f t="shared" si="94"/>
        <v>209.95462835399854</v>
      </c>
      <c r="J69" s="109">
        <f t="shared" si="94"/>
        <v>209.29732992193138</v>
      </c>
      <c r="K69" s="109">
        <f t="shared" si="94"/>
        <v>208.64930787902642</v>
      </c>
      <c r="L69" s="109">
        <f t="shared" si="94"/>
        <v>208.00923702683198</v>
      </c>
      <c r="M69" s="109">
        <f t="shared" si="94"/>
        <v>207.37446696844452</v>
      </c>
      <c r="N69" s="109">
        <f t="shared" si="94"/>
        <v>206.74234730696057</v>
      </c>
      <c r="O69" s="109">
        <f t="shared" si="94"/>
        <v>206.10492685166963</v>
      </c>
      <c r="P69" s="109">
        <f t="shared" si="94"/>
        <v>205.46485599947516</v>
      </c>
      <c r="Q69" s="109">
        <f t="shared" si="94"/>
        <v>204.82080955192546</v>
      </c>
      <c r="R69" s="109">
        <f t="shared" si="94"/>
        <v>204.17013711211703</v>
      </c>
      <c r="S69" s="109">
        <f t="shared" si="94"/>
        <v>203.53536705372957</v>
      </c>
      <c r="T69" s="109">
        <f t="shared" ref="T69:V69" si="95">T16*T43+150</f>
        <v>202.90803528234869</v>
      </c>
      <c r="U69" s="109">
        <f t="shared" si="95"/>
        <v>202.28805463552419</v>
      </c>
      <c r="V69" s="109">
        <f t="shared" si="95"/>
        <v>201.67533897218254</v>
      </c>
    </row>
    <row r="70" spans="1:22" x14ac:dyDescent="0.25">
      <c r="A70" s="21" t="s">
        <v>137</v>
      </c>
      <c r="B70" s="25">
        <f t="shared" ref="B70:S70" si="96">B17*B44</f>
        <v>221.25</v>
      </c>
      <c r="C70" s="25">
        <f t="shared" si="96"/>
        <v>219.07865093407949</v>
      </c>
      <c r="D70" s="25">
        <f t="shared" si="96"/>
        <v>242.96004488365105</v>
      </c>
      <c r="E70" s="25">
        <f t="shared" si="96"/>
        <v>240.57563328358722</v>
      </c>
      <c r="F70" s="25">
        <f t="shared" si="96"/>
        <v>285.97404780336325</v>
      </c>
      <c r="G70" s="25">
        <f t="shared" si="96"/>
        <v>283.01033234927507</v>
      </c>
      <c r="H70" s="25">
        <f t="shared" si="96"/>
        <v>280.01599999999996</v>
      </c>
      <c r="I70" s="25">
        <f t="shared" si="96"/>
        <v>277.03391440879966</v>
      </c>
      <c r="J70" s="109">
        <f t="shared" si="96"/>
        <v>273.99671840626297</v>
      </c>
      <c r="K70" s="109">
        <f t="shared" si="96"/>
        <v>271.00238605698792</v>
      </c>
      <c r="L70" s="109">
        <f t="shared" si="96"/>
        <v>268.04479398193712</v>
      </c>
      <c r="M70" s="109">
        <f t="shared" si="96"/>
        <v>265.11169542303577</v>
      </c>
      <c r="N70" s="109">
        <f t="shared" si="96"/>
        <v>262.19084362220917</v>
      </c>
      <c r="O70" s="109">
        <f t="shared" si="96"/>
        <v>259.24549830523301</v>
      </c>
      <c r="P70" s="109">
        <f t="shared" si="96"/>
        <v>256.28790623018222</v>
      </c>
      <c r="Q70" s="109">
        <f t="shared" si="96"/>
        <v>253.3119440180192</v>
      </c>
      <c r="R70" s="109">
        <f t="shared" si="96"/>
        <v>250.3053649106694</v>
      </c>
      <c r="S70" s="109">
        <f t="shared" si="96"/>
        <v>247.37226635176805</v>
      </c>
      <c r="T70" s="109">
        <f t="shared" ref="T70:V70" si="97">T17*T44</f>
        <v>244.4735380795735</v>
      </c>
      <c r="U70" s="109">
        <f t="shared" si="97"/>
        <v>241.60877734027963</v>
      </c>
      <c r="V70" s="109">
        <f t="shared" si="97"/>
        <v>238.77758609958209</v>
      </c>
    </row>
    <row r="71" spans="1:22" x14ac:dyDescent="0.25">
      <c r="A71" s="21" t="s">
        <v>251</v>
      </c>
      <c r="B71" s="25"/>
      <c r="C71" s="25"/>
      <c r="D71" s="25"/>
      <c r="E71" s="25"/>
      <c r="F71" s="25">
        <f t="shared" ref="F71:S71" si="98">F18*F45</f>
        <v>160.85121039165517</v>
      </c>
      <c r="G71" s="25">
        <f t="shared" si="98"/>
        <v>159.18421570556976</v>
      </c>
      <c r="H71" s="25">
        <f t="shared" si="98"/>
        <v>157.5</v>
      </c>
      <c r="I71" s="25">
        <f t="shared" si="98"/>
        <v>155.82267270222397</v>
      </c>
      <c r="J71" s="109">
        <f t="shared" si="98"/>
        <v>154.11434756937609</v>
      </c>
      <c r="K71" s="109">
        <f t="shared" si="98"/>
        <v>152.43013186380634</v>
      </c>
      <c r="L71" s="109">
        <f t="shared" si="98"/>
        <v>150.76658138161778</v>
      </c>
      <c r="M71" s="109">
        <f t="shared" si="98"/>
        <v>149.11680771501673</v>
      </c>
      <c r="N71" s="109">
        <f t="shared" si="98"/>
        <v>147.47392245620944</v>
      </c>
      <c r="O71" s="109">
        <f t="shared" si="98"/>
        <v>145.81726038181463</v>
      </c>
      <c r="P71" s="109">
        <f t="shared" si="98"/>
        <v>144.15370989962608</v>
      </c>
      <c r="Q71" s="109">
        <f t="shared" si="98"/>
        <v>142.47982680574694</v>
      </c>
      <c r="R71" s="109">
        <f t="shared" si="98"/>
        <v>140.78872269238343</v>
      </c>
      <c r="S71" s="109">
        <f t="shared" si="98"/>
        <v>139.13894902578235</v>
      </c>
      <c r="T71" s="109">
        <f t="shared" ref="T71:V71" si="99">T18*T45</f>
        <v>137.50850754075779</v>
      </c>
      <c r="U71" s="109">
        <f t="shared" si="99"/>
        <v>135.89717170123868</v>
      </c>
      <c r="V71" s="109">
        <f t="shared" si="99"/>
        <v>134.30471762572205</v>
      </c>
    </row>
    <row r="72" spans="1:22" x14ac:dyDescent="0.25">
      <c r="A72" s="21" t="s">
        <v>252</v>
      </c>
      <c r="B72" s="25"/>
      <c r="C72" s="25"/>
      <c r="D72" s="25"/>
      <c r="E72" s="25"/>
      <c r="F72" s="25">
        <f t="shared" ref="F72:S72" si="100">F19*F46</f>
        <v>514.58089439961509</v>
      </c>
      <c r="G72" s="25">
        <f t="shared" si="100"/>
        <v>509.24799317719607</v>
      </c>
      <c r="H72" s="45">
        <f t="shared" si="100"/>
        <v>503.86</v>
      </c>
      <c r="I72" s="45">
        <f t="shared" si="100"/>
        <v>498.4940436047147</v>
      </c>
      <c r="J72" s="109">
        <f t="shared" si="100"/>
        <v>517.2762457084126</v>
      </c>
      <c r="K72" s="109">
        <f t="shared" si="100"/>
        <v>535.6056100067791</v>
      </c>
      <c r="L72" s="109">
        <f t="shared" si="100"/>
        <v>561.38774169564169</v>
      </c>
      <c r="M72" s="109">
        <f t="shared" si="100"/>
        <v>578.70576220778946</v>
      </c>
      <c r="N72" s="109">
        <f t="shared" si="100"/>
        <v>595.53247086094166</v>
      </c>
      <c r="O72" s="109">
        <f t="shared" si="100"/>
        <v>596.48980646854295</v>
      </c>
      <c r="P72" s="109">
        <f t="shared" si="100"/>
        <v>589.68477596273704</v>
      </c>
      <c r="Q72" s="109">
        <f t="shared" si="100"/>
        <v>582.83747818670861</v>
      </c>
      <c r="R72" s="109">
        <f t="shared" si="100"/>
        <v>575.91973496030971</v>
      </c>
      <c r="S72" s="109">
        <f t="shared" si="100"/>
        <v>569.17106081480017</v>
      </c>
      <c r="T72" s="109">
        <f t="shared" ref="T72:V72" si="101">T19*T46</f>
        <v>562.50146818005976</v>
      </c>
      <c r="U72" s="109">
        <f t="shared" si="101"/>
        <v>555.91003037253347</v>
      </c>
      <c r="V72" s="109">
        <f t="shared" si="101"/>
        <v>549.39583156762012</v>
      </c>
    </row>
    <row r="73" spans="1:22" x14ac:dyDescent="0.25">
      <c r="A73" s="21" t="s">
        <v>249</v>
      </c>
      <c r="B73" s="25"/>
      <c r="C73" s="25"/>
      <c r="D73" s="25"/>
      <c r="E73" s="25"/>
      <c r="F73" s="25">
        <f t="shared" ref="F73:S73" si="102">F20*F47</f>
        <v>238.97894115331627</v>
      </c>
      <c r="G73" s="25">
        <f t="shared" si="102"/>
        <v>236.50226333398936</v>
      </c>
      <c r="H73" s="25">
        <f t="shared" si="102"/>
        <v>234</v>
      </c>
      <c r="I73" s="25">
        <f t="shared" si="102"/>
        <v>231.50797087187561</v>
      </c>
      <c r="J73" s="109">
        <f t="shared" si="102"/>
        <v>228.9698878173588</v>
      </c>
      <c r="K73" s="109">
        <f t="shared" si="102"/>
        <v>226.46762448336941</v>
      </c>
      <c r="L73" s="109">
        <f t="shared" si="102"/>
        <v>223.996063766975</v>
      </c>
      <c r="M73" s="109">
        <f t="shared" si="102"/>
        <v>221.54497146231057</v>
      </c>
      <c r="N73" s="109">
        <f t="shared" si="102"/>
        <v>219.10411336351112</v>
      </c>
      <c r="O73" s="109">
        <f t="shared" si="102"/>
        <v>216.64278685298169</v>
      </c>
      <c r="P73" s="109">
        <f t="shared" si="102"/>
        <v>214.17122613658728</v>
      </c>
      <c r="Q73" s="109">
        <f t="shared" si="102"/>
        <v>211.68431411139537</v>
      </c>
      <c r="R73" s="109">
        <f t="shared" si="102"/>
        <v>209.17181657154103</v>
      </c>
      <c r="S73" s="109">
        <f t="shared" si="102"/>
        <v>206.7207242668766</v>
      </c>
      <c r="T73" s="109">
        <f t="shared" ref="T73:V73" si="103">T20*T47</f>
        <v>204.29835406055437</v>
      </c>
      <c r="U73" s="109">
        <f t="shared" si="103"/>
        <v>201.90436938469739</v>
      </c>
      <c r="V73" s="109">
        <f t="shared" si="103"/>
        <v>199.53843761535839</v>
      </c>
    </row>
    <row r="74" spans="1:22" x14ac:dyDescent="0.25">
      <c r="A74" s="21" t="s">
        <v>250</v>
      </c>
      <c r="B74" s="25"/>
      <c r="C74" s="25"/>
      <c r="D74" s="25"/>
      <c r="E74" s="25"/>
      <c r="F74" s="25">
        <f t="shared" ref="F74:S74" si="104">F21*F48</f>
        <v>213.44700299591071</v>
      </c>
      <c r="G74" s="25">
        <f t="shared" si="104"/>
        <v>211.23492750770848</v>
      </c>
      <c r="H74" s="25">
        <f t="shared" si="104"/>
        <v>209</v>
      </c>
      <c r="I74" s="25">
        <f t="shared" si="104"/>
        <v>206.77421330009403</v>
      </c>
      <c r="J74" s="109">
        <f t="shared" si="104"/>
        <v>204.50729296507686</v>
      </c>
      <c r="K74" s="109">
        <f t="shared" si="104"/>
        <v>202.27236545736841</v>
      </c>
      <c r="L74" s="109">
        <f t="shared" si="104"/>
        <v>200.06486037306743</v>
      </c>
      <c r="M74" s="109">
        <f t="shared" si="104"/>
        <v>197.87563690437142</v>
      </c>
      <c r="N74" s="109">
        <f t="shared" si="104"/>
        <v>195.69555424347789</v>
      </c>
      <c r="O74" s="109">
        <f t="shared" si="104"/>
        <v>193.49718996697936</v>
      </c>
      <c r="P74" s="109">
        <f t="shared" si="104"/>
        <v>191.28968488267839</v>
      </c>
      <c r="Q74" s="109">
        <f t="shared" si="104"/>
        <v>189.06846858667365</v>
      </c>
      <c r="R74" s="109">
        <f t="shared" si="104"/>
        <v>186.82440027116272</v>
      </c>
      <c r="S74" s="109">
        <f t="shared" si="104"/>
        <v>184.6351768024667</v>
      </c>
      <c r="T74" s="109">
        <f t="shared" ref="T74:V74" si="105">T21*T48</f>
        <v>182.47160683186266</v>
      </c>
      <c r="U74" s="109">
        <f t="shared" si="105"/>
        <v>180.33338974958016</v>
      </c>
      <c r="V74" s="109">
        <f t="shared" si="105"/>
        <v>178.22022846841841</v>
      </c>
    </row>
    <row r="75" spans="1:22" x14ac:dyDescent="0.25">
      <c r="A75" s="21" t="s">
        <v>138</v>
      </c>
      <c r="B75" s="25">
        <f t="shared" ref="B75:E78" si="106">B22*B49</f>
        <v>20.64</v>
      </c>
      <c r="C75" s="25">
        <f t="shared" si="106"/>
        <v>20.437438893918195</v>
      </c>
      <c r="D75" s="25">
        <f t="shared" si="106"/>
        <v>20.236865723965124</v>
      </c>
      <c r="E75" s="25">
        <f t="shared" si="106"/>
        <v>20.038260980521549</v>
      </c>
      <c r="F75" s="25">
        <v>33</v>
      </c>
      <c r="G75" s="25">
        <v>32</v>
      </c>
      <c r="H75" s="25">
        <f t="shared" ref="H75:S75" si="107">H22*H49</f>
        <v>23.52</v>
      </c>
      <c r="I75" s="25">
        <f t="shared" si="107"/>
        <v>23.269519123532113</v>
      </c>
      <c r="J75" s="109">
        <f t="shared" si="107"/>
        <v>23.014409237026832</v>
      </c>
      <c r="K75" s="109">
        <f t="shared" si="107"/>
        <v>22.762899691661744</v>
      </c>
      <c r="L75" s="109">
        <f t="shared" si="107"/>
        <v>22.514476152988255</v>
      </c>
      <c r="M75" s="109">
        <f t="shared" si="107"/>
        <v>22.268109952109164</v>
      </c>
      <c r="N75" s="109">
        <f t="shared" si="107"/>
        <v>22.022772420127268</v>
      </c>
      <c r="O75" s="109">
        <f t="shared" si="107"/>
        <v>21.775377550350978</v>
      </c>
      <c r="P75" s="109">
        <f t="shared" si="107"/>
        <v>21.526954011677486</v>
      </c>
      <c r="Q75" s="109">
        <f t="shared" si="107"/>
        <v>21.276987469658195</v>
      </c>
      <c r="R75" s="109">
        <f t="shared" si="107"/>
        <v>21.024449255395915</v>
      </c>
      <c r="S75" s="109">
        <f t="shared" si="107"/>
        <v>20.778083054516824</v>
      </c>
      <c r="T75" s="109">
        <f t="shared" ref="T75:V75" si="108">T22*T49</f>
        <v>20.534603792753153</v>
      </c>
      <c r="U75" s="109">
        <f t="shared" si="108"/>
        <v>20.2939776407183</v>
      </c>
      <c r="V75" s="109">
        <f t="shared" si="108"/>
        <v>20.05617116544115</v>
      </c>
    </row>
    <row r="76" spans="1:22" x14ac:dyDescent="0.25">
      <c r="A76" s="21" t="s">
        <v>139</v>
      </c>
      <c r="B76" s="25">
        <f t="shared" si="106"/>
        <v>17.600000000000001</v>
      </c>
      <c r="C76" s="25">
        <f t="shared" si="106"/>
        <v>17.42727347543412</v>
      </c>
      <c r="D76" s="25">
        <f t="shared" si="106"/>
        <v>17.256242090202822</v>
      </c>
      <c r="E76" s="25">
        <f t="shared" si="106"/>
        <v>17.086889208196677</v>
      </c>
      <c r="F76" s="25">
        <v>38</v>
      </c>
      <c r="G76" s="25">
        <v>41</v>
      </c>
      <c r="H76" s="25">
        <f t="shared" ref="H76:S76" si="109">H23*H50</f>
        <v>17.600000000000001</v>
      </c>
      <c r="I76" s="25">
        <f t="shared" si="109"/>
        <v>17.412565330534235</v>
      </c>
      <c r="J76" s="109">
        <f t="shared" si="109"/>
        <v>17.221666776006476</v>
      </c>
      <c r="K76" s="109">
        <f t="shared" si="109"/>
        <v>17.03346235430471</v>
      </c>
      <c r="L76" s="109">
        <f t="shared" si="109"/>
        <v>16.847567189310944</v>
      </c>
      <c r="M76" s="109">
        <f t="shared" si="109"/>
        <v>16.663211528789173</v>
      </c>
      <c r="N76" s="109">
        <f t="shared" si="109"/>
        <v>16.479625620503402</v>
      </c>
      <c r="O76" s="109">
        <f t="shared" si="109"/>
        <v>16.294500207745632</v>
      </c>
      <c r="P76" s="109">
        <f t="shared" si="109"/>
        <v>16.108605042751865</v>
      </c>
      <c r="Q76" s="109">
        <f t="shared" si="109"/>
        <v>15.921555249404097</v>
      </c>
      <c r="R76" s="109">
        <f t="shared" si="109"/>
        <v>15.732581075466335</v>
      </c>
      <c r="S76" s="109">
        <f t="shared" si="109"/>
        <v>15.548225414944566</v>
      </c>
      <c r="T76" s="109">
        <f t="shared" ref="T76:V76" si="110">T23*T50</f>
        <v>15.366030048998963</v>
      </c>
      <c r="U76" s="109">
        <f t="shared" si="110"/>
        <v>15.185969663122542</v>
      </c>
      <c r="V76" s="109">
        <f t="shared" si="110"/>
        <v>15.008019239445762</v>
      </c>
    </row>
    <row r="77" spans="1:22" x14ac:dyDescent="0.25">
      <c r="A77" s="21" t="s">
        <v>140</v>
      </c>
      <c r="B77" s="25">
        <f t="shared" si="106"/>
        <v>36</v>
      </c>
      <c r="C77" s="25">
        <f t="shared" si="106"/>
        <v>35.646695745206152</v>
      </c>
      <c r="D77" s="25">
        <f t="shared" si="106"/>
        <v>35.296858820869403</v>
      </c>
      <c r="E77" s="25">
        <f t="shared" si="106"/>
        <v>34.950455198584102</v>
      </c>
      <c r="F77" s="25">
        <f>F24*F51</f>
        <v>45.957488683330055</v>
      </c>
      <c r="G77" s="25">
        <f>G24*G51</f>
        <v>45.481204487305639</v>
      </c>
      <c r="H77" s="25">
        <f t="shared" ref="H77:S77" si="111">H24*H51</f>
        <v>45</v>
      </c>
      <c r="I77" s="25">
        <f t="shared" si="111"/>
        <v>44.520763629206854</v>
      </c>
      <c r="J77" s="109">
        <f t="shared" si="111"/>
        <v>44.032670734107462</v>
      </c>
      <c r="K77" s="109">
        <f t="shared" si="111"/>
        <v>43.551466246801809</v>
      </c>
      <c r="L77" s="109">
        <f t="shared" si="111"/>
        <v>43.07616610903365</v>
      </c>
      <c r="M77" s="109">
        <f t="shared" si="111"/>
        <v>42.604802204290486</v>
      </c>
      <c r="N77" s="109">
        <f t="shared" si="111"/>
        <v>42.135406416059823</v>
      </c>
      <c r="O77" s="109">
        <f t="shared" si="111"/>
        <v>41.662074394804165</v>
      </c>
      <c r="P77" s="109">
        <f t="shared" si="111"/>
        <v>41.186774257036006</v>
      </c>
      <c r="Q77" s="109">
        <f t="shared" si="111"/>
        <v>40.708521944499104</v>
      </c>
      <c r="R77" s="109">
        <f t="shared" si="111"/>
        <v>40.225349340680964</v>
      </c>
      <c r="S77" s="109">
        <f t="shared" si="111"/>
        <v>39.7539854359378</v>
      </c>
      <c r="T77" s="109">
        <f t="shared" ref="T77:V77" si="112">T24*T51</f>
        <v>39.288145011645064</v>
      </c>
      <c r="U77" s="109">
        <f t="shared" si="112"/>
        <v>38.827763343211032</v>
      </c>
      <c r="V77" s="109">
        <f t="shared" si="112"/>
        <v>38.372776464491992</v>
      </c>
    </row>
    <row r="78" spans="1:22" x14ac:dyDescent="0.25">
      <c r="A78" s="21" t="s">
        <v>141</v>
      </c>
      <c r="B78" s="25">
        <f t="shared" si="106"/>
        <v>21.6</v>
      </c>
      <c r="C78" s="25">
        <f t="shared" si="106"/>
        <v>21.388017447123694</v>
      </c>
      <c r="D78" s="25">
        <f t="shared" si="106"/>
        <v>21.178115292521642</v>
      </c>
      <c r="E78" s="25">
        <f t="shared" si="106"/>
        <v>20.970273119150463</v>
      </c>
      <c r="F78" s="25">
        <f>F25*F52</f>
        <v>24.510660631109364</v>
      </c>
      <c r="G78" s="25">
        <f>G25*G52</f>
        <v>24.256642393229683</v>
      </c>
      <c r="H78" s="25">
        <f t="shared" ref="H78:S78" si="113">H25*H52</f>
        <v>24</v>
      </c>
      <c r="I78" s="25">
        <f t="shared" si="113"/>
        <v>23.744407268910322</v>
      </c>
      <c r="J78" s="109">
        <f t="shared" si="113"/>
        <v>23.484091058190646</v>
      </c>
      <c r="K78" s="109">
        <f t="shared" si="113"/>
        <v>23.227448664960967</v>
      </c>
      <c r="L78" s="109">
        <f t="shared" si="113"/>
        <v>22.973955258151285</v>
      </c>
      <c r="M78" s="109">
        <f t="shared" si="113"/>
        <v>22.7225611756216</v>
      </c>
      <c r="N78" s="109">
        <f t="shared" si="113"/>
        <v>22.472216755231912</v>
      </c>
      <c r="O78" s="109">
        <f t="shared" si="113"/>
        <v>22.219773010562225</v>
      </c>
      <c r="P78" s="109">
        <f t="shared" si="113"/>
        <v>21.966279603752543</v>
      </c>
      <c r="Q78" s="109">
        <f t="shared" si="113"/>
        <v>21.711211703732861</v>
      </c>
      <c r="R78" s="109">
        <f t="shared" si="113"/>
        <v>21.453519648363184</v>
      </c>
      <c r="S78" s="109">
        <f t="shared" si="113"/>
        <v>21.202125565833498</v>
      </c>
      <c r="T78" s="109">
        <f t="shared" ref="T78:V78" si="114">T25*T52</f>
        <v>20.95367733954404</v>
      </c>
      <c r="U78" s="109">
        <f t="shared" si="114"/>
        <v>20.708140449712555</v>
      </c>
      <c r="V78" s="109">
        <f t="shared" si="114"/>
        <v>20.4654807810624</v>
      </c>
    </row>
    <row r="79" spans="1:22" x14ac:dyDescent="0.25">
      <c r="A79" s="26" t="s">
        <v>122</v>
      </c>
      <c r="B79" s="33">
        <f t="shared" ref="B79:S79" si="115">SUM(B56:B78)</f>
        <v>2653.99</v>
      </c>
      <c r="C79" s="33">
        <f t="shared" si="115"/>
        <v>2630.299085054728</v>
      </c>
      <c r="D79" s="33">
        <f t="shared" si="115"/>
        <v>2632.8721062967952</v>
      </c>
      <c r="E79" s="33">
        <f t="shared" si="115"/>
        <v>2623.7084206814325</v>
      </c>
      <c r="F79" s="33">
        <f t="shared" si="115"/>
        <v>3890.962942141507</v>
      </c>
      <c r="G79" s="33">
        <f t="shared" si="115"/>
        <v>3851.5042643124507</v>
      </c>
      <c r="H79" s="33">
        <f t="shared" si="115"/>
        <v>3789.3571868697054</v>
      </c>
      <c r="I79" s="33">
        <f t="shared" si="115"/>
        <v>3764.6467123348248</v>
      </c>
      <c r="J79" s="114">
        <f t="shared" si="115"/>
        <v>3757.9630130479968</v>
      </c>
      <c r="K79" s="114">
        <f t="shared" si="115"/>
        <v>3743.4998186991311</v>
      </c>
      <c r="L79" s="114">
        <f t="shared" si="115"/>
        <v>3736.8917544235492</v>
      </c>
      <c r="M79" s="114">
        <f t="shared" si="115"/>
        <v>3780.0303517576144</v>
      </c>
      <c r="N79" s="114">
        <f t="shared" si="115"/>
        <v>3821.5350015829581</v>
      </c>
      <c r="O79" s="114">
        <f t="shared" si="115"/>
        <v>3845.6092201994961</v>
      </c>
      <c r="P79" s="114">
        <f t="shared" si="115"/>
        <v>3804.4747691671514</v>
      </c>
      <c r="Q79" s="114">
        <f t="shared" si="115"/>
        <v>3763.0848246501346</v>
      </c>
      <c r="R79" s="114">
        <f t="shared" si="115"/>
        <v>3721.2690576586629</v>
      </c>
      <c r="S79" s="114">
        <f t="shared" si="115"/>
        <v>3680.4752646058814</v>
      </c>
      <c r="T79" s="114">
        <f t="shared" ref="T79:V79" si="116">SUM(T56:T78)</f>
        <v>3640.1594965273484</v>
      </c>
      <c r="U79" s="114">
        <f t="shared" si="116"/>
        <v>3600.3161518876591</v>
      </c>
      <c r="V79" s="114">
        <f t="shared" si="116"/>
        <v>3560.9396947906557</v>
      </c>
    </row>
    <row r="81" spans="1:22" x14ac:dyDescent="0.25">
      <c r="A81" s="27" t="s">
        <v>328</v>
      </c>
    </row>
    <row r="82" spans="1:22" x14ac:dyDescent="0.25">
      <c r="A82" s="26" t="s">
        <v>143</v>
      </c>
      <c r="B82" s="26">
        <v>2012</v>
      </c>
      <c r="C82" s="26">
        <f>B82+1</f>
        <v>2013</v>
      </c>
      <c r="D82" s="26">
        <f t="shared" ref="D82" si="117">C82+1</f>
        <v>2014</v>
      </c>
      <c r="E82" s="26">
        <f t="shared" ref="E82" si="118">D82+1</f>
        <v>2015</v>
      </c>
      <c r="F82" s="26">
        <f t="shared" ref="F82" si="119">E82+1</f>
        <v>2016</v>
      </c>
      <c r="G82" s="26">
        <f t="shared" ref="G82" si="120">F82+1</f>
        <v>2017</v>
      </c>
      <c r="H82" s="26">
        <f t="shared" ref="H82" si="121">G82+1</f>
        <v>2018</v>
      </c>
      <c r="I82" s="26">
        <f t="shared" ref="I82" si="122">H82+1</f>
        <v>2019</v>
      </c>
      <c r="J82" s="26">
        <f t="shared" ref="J82" si="123">I82+1</f>
        <v>2020</v>
      </c>
      <c r="K82" s="26">
        <f t="shared" ref="K82" si="124">J82+1</f>
        <v>2021</v>
      </c>
      <c r="L82" s="26">
        <f t="shared" ref="L82" si="125">K82+1</f>
        <v>2022</v>
      </c>
      <c r="M82" s="26">
        <f t="shared" ref="M82" si="126">L82+1</f>
        <v>2023</v>
      </c>
      <c r="N82" s="26">
        <f t="shared" ref="N82" si="127">M82+1</f>
        <v>2024</v>
      </c>
      <c r="O82" s="26">
        <f t="shared" ref="O82" si="128">N82+1</f>
        <v>2025</v>
      </c>
      <c r="P82" s="26">
        <f t="shared" ref="P82" si="129">O82+1</f>
        <v>2026</v>
      </c>
      <c r="Q82" s="26">
        <f t="shared" ref="Q82" si="130">P82+1</f>
        <v>2027</v>
      </c>
      <c r="R82" s="26">
        <f t="shared" ref="R82:S82" si="131">Q82+1</f>
        <v>2028</v>
      </c>
      <c r="S82" s="26">
        <f t="shared" si="131"/>
        <v>2029</v>
      </c>
      <c r="T82" s="26">
        <f t="shared" ref="T82" si="132">S82+1</f>
        <v>2030</v>
      </c>
      <c r="U82" s="26">
        <f t="shared" ref="U82" si="133">T82+1</f>
        <v>2031</v>
      </c>
      <c r="V82" s="26">
        <f t="shared" ref="V82" si="134">U82+1</f>
        <v>2032</v>
      </c>
    </row>
    <row r="83" spans="1:22" x14ac:dyDescent="0.25">
      <c r="A83" s="40" t="s">
        <v>123</v>
      </c>
      <c r="B83" s="41">
        <v>3860</v>
      </c>
      <c r="C83" s="41">
        <v>3230</v>
      </c>
      <c r="D83" s="41">
        <v>3050</v>
      </c>
      <c r="E83" s="25">
        <f>E111*E56/1000*365</f>
        <v>3654.6571494391319</v>
      </c>
      <c r="F83" s="77">
        <f>3023</f>
        <v>3023</v>
      </c>
      <c r="G83" s="77">
        <v>3836</v>
      </c>
      <c r="H83" s="25">
        <f t="shared" ref="H83:S83" si="135">H111*H56/1000*365</f>
        <v>3617.5734000000007</v>
      </c>
      <c r="I83" s="25">
        <f t="shared" si="135"/>
        <v>3908.696435957489</v>
      </c>
      <c r="J83" s="25">
        <f t="shared" si="135"/>
        <v>3865.8443641605986</v>
      </c>
      <c r="K83" s="25">
        <f t="shared" si="135"/>
        <v>3823.597059506003</v>
      </c>
      <c r="L83" s="25">
        <f t="shared" si="135"/>
        <v>3781.8681266876602</v>
      </c>
      <c r="M83" s="25">
        <f t="shared" si="135"/>
        <v>3740.484775093486</v>
      </c>
      <c r="N83" s="25">
        <f t="shared" si="135"/>
        <v>3699.2742141113954</v>
      </c>
      <c r="O83" s="25">
        <f t="shared" si="135"/>
        <v>3657.7180719051371</v>
      </c>
      <c r="P83" s="25">
        <f t="shared" si="135"/>
        <v>3615.9891390867947</v>
      </c>
      <c r="Q83" s="25">
        <f t="shared" si="135"/>
        <v>3574.0010203503252</v>
      </c>
      <c r="R83" s="25">
        <f t="shared" si="135"/>
        <v>3531.5809250836451</v>
      </c>
      <c r="S83" s="25">
        <f t="shared" si="135"/>
        <v>3490.1975734894709</v>
      </c>
      <c r="T83" s="25">
        <f>T111*T56/1000*365</f>
        <v>3449.2991553643278</v>
      </c>
      <c r="U83" s="25">
        <f t="shared" ref="U83:V83" si="136">U111*U56/1000*365</f>
        <v>3408.8799882185131</v>
      </c>
      <c r="V83" s="25">
        <f t="shared" si="136"/>
        <v>3368.9344561501944</v>
      </c>
    </row>
    <row r="84" spans="1:22" x14ac:dyDescent="0.25">
      <c r="A84" s="40" t="s">
        <v>124</v>
      </c>
      <c r="B84" s="41">
        <v>1800</v>
      </c>
      <c r="C84" s="41">
        <v>1630</v>
      </c>
      <c r="D84" s="41">
        <v>1510</v>
      </c>
      <c r="E84" s="25">
        <f>E112*E57/1000*365</f>
        <v>1569.8979933996511</v>
      </c>
      <c r="F84" s="77">
        <v>1705</v>
      </c>
      <c r="G84" s="77">
        <v>1415</v>
      </c>
      <c r="H84" s="25">
        <f t="shared" ref="H84:S84" si="137">H112*H57/1000*365</f>
        <v>1400.0288848500584</v>
      </c>
      <c r="I84" s="25">
        <f t="shared" si="137"/>
        <v>1385.1190012549223</v>
      </c>
      <c r="J84" s="25">
        <f t="shared" si="137"/>
        <v>1369.9335756631615</v>
      </c>
      <c r="K84" s="25">
        <f t="shared" si="137"/>
        <v>1354.9624605132199</v>
      </c>
      <c r="L84" s="25">
        <f t="shared" si="137"/>
        <v>1340.1750400276949</v>
      </c>
      <c r="M84" s="25">
        <f t="shared" si="137"/>
        <v>1325.5100826517805</v>
      </c>
      <c r="N84" s="25">
        <f t="shared" si="137"/>
        <v>1310.9063568306722</v>
      </c>
      <c r="O84" s="25">
        <f t="shared" si="137"/>
        <v>1296.1801678999525</v>
      </c>
      <c r="P84" s="25">
        <f t="shared" si="137"/>
        <v>1281.3927474144273</v>
      </c>
      <c r="Q84" s="25">
        <f t="shared" si="137"/>
        <v>1266.513479596694</v>
      </c>
      <c r="R84" s="25">
        <f t="shared" si="137"/>
        <v>1251.4811328919468</v>
      </c>
      <c r="S84" s="25">
        <f t="shared" si="137"/>
        <v>1236.8161755160327</v>
      </c>
      <c r="T84" s="25">
        <f t="shared" ref="T84:V84" si="138">T112*T57/1000*365</f>
        <v>1222.3230632995742</v>
      </c>
      <c r="U84" s="25">
        <f t="shared" si="138"/>
        <v>1207.9997825470605</v>
      </c>
      <c r="V84" s="25">
        <f t="shared" si="138"/>
        <v>1193.844343159629</v>
      </c>
    </row>
    <row r="85" spans="1:22" x14ac:dyDescent="0.25">
      <c r="A85" s="21" t="s">
        <v>125</v>
      </c>
      <c r="B85" s="42">
        <v>7460</v>
      </c>
      <c r="C85" s="42">
        <v>7407</v>
      </c>
      <c r="D85" s="42">
        <v>7260</v>
      </c>
      <c r="E85" s="25">
        <f>E113*E58/1000*365</f>
        <v>7231.1966683130913</v>
      </c>
      <c r="F85" s="77">
        <v>6127</v>
      </c>
      <c r="G85" s="77">
        <v>5856</v>
      </c>
      <c r="H85" s="25">
        <f t="shared" ref="H85:S85" si="139">H113*H58/1000*365</f>
        <v>5794.0418018953651</v>
      </c>
      <c r="I85" s="25">
        <f t="shared" si="139"/>
        <v>5732.3370115539392</v>
      </c>
      <c r="J85" s="25">
        <f t="shared" si="139"/>
        <v>5669.4918862780733</v>
      </c>
      <c r="K85" s="25">
        <f t="shared" si="139"/>
        <v>5607.5336881734383</v>
      </c>
      <c r="L85" s="25">
        <f t="shared" si="139"/>
        <v>5546.3357133584313</v>
      </c>
      <c r="M85" s="25">
        <f t="shared" si="139"/>
        <v>5485.6445540698442</v>
      </c>
      <c r="N85" s="25">
        <f t="shared" si="139"/>
        <v>5425.2068025444632</v>
      </c>
      <c r="O85" s="25">
        <f t="shared" si="139"/>
        <v>5364.2622354926652</v>
      </c>
      <c r="P85" s="25">
        <f t="shared" si="139"/>
        <v>5303.0642606776582</v>
      </c>
      <c r="Q85" s="25">
        <f t="shared" si="139"/>
        <v>5241.4861742178382</v>
      </c>
      <c r="R85" s="25">
        <f t="shared" si="139"/>
        <v>5179.2745683499943</v>
      </c>
      <c r="S85" s="25">
        <f t="shared" si="139"/>
        <v>5118.5834090614053</v>
      </c>
      <c r="T85" s="25">
        <f t="shared" ref="T85:V85" si="140">T113*T58/1000*365</f>
        <v>5058.6034336977436</v>
      </c>
      <c r="U85" s="25">
        <f t="shared" si="140"/>
        <v>4999.3263085481176</v>
      </c>
      <c r="V85" s="25">
        <f t="shared" si="140"/>
        <v>4940.74379755674</v>
      </c>
    </row>
    <row r="86" spans="1:22" x14ac:dyDescent="0.25">
      <c r="A86" s="40" t="s">
        <v>126</v>
      </c>
      <c r="B86" s="41">
        <v>18770</v>
      </c>
      <c r="C86" s="41">
        <v>17960</v>
      </c>
      <c r="D86" s="41">
        <v>17700</v>
      </c>
      <c r="E86" s="25">
        <f>E114*E59/1000*365</f>
        <v>17786.093918429513</v>
      </c>
      <c r="F86" s="77">
        <v>14608</v>
      </c>
      <c r="G86" s="77">
        <v>16752</v>
      </c>
      <c r="H86" s="25">
        <f t="shared" ref="H86:S87" si="141">H114*H59/1000*365</f>
        <v>16574.758925094116</v>
      </c>
      <c r="I86" s="25">
        <f t="shared" si="141"/>
        <v>16398.242762560039</v>
      </c>
      <c r="J86" s="25">
        <f t="shared" si="141"/>
        <v>16218.464494352849</v>
      </c>
      <c r="K86" s="25">
        <f t="shared" si="141"/>
        <v>16041.223419446967</v>
      </c>
      <c r="L86" s="25">
        <f t="shared" si="141"/>
        <v>15866.157081656498</v>
      </c>
      <c r="M86" s="25">
        <f t="shared" si="141"/>
        <v>15692.540568609631</v>
      </c>
      <c r="N86" s="25">
        <f t="shared" si="141"/>
        <v>15519.648967934572</v>
      </c>
      <c r="O86" s="25">
        <f t="shared" si="141"/>
        <v>15345.3075425159</v>
      </c>
      <c r="P86" s="25">
        <f t="shared" si="141"/>
        <v>15170.241204725431</v>
      </c>
      <c r="Q86" s="25">
        <f t="shared" si="141"/>
        <v>14994.087498377254</v>
      </c>
      <c r="R86" s="25">
        <f t="shared" si="141"/>
        <v>14816.121511099573</v>
      </c>
      <c r="S86" s="25">
        <f t="shared" si="141"/>
        <v>14642.504998052706</v>
      </c>
      <c r="T86" s="25">
        <f t="shared" ref="T86:V86" si="142">T114*T59/1000*365</f>
        <v>14470.922937381249</v>
      </c>
      <c r="U86" s="25">
        <f t="shared" si="142"/>
        <v>14301.351489207322</v>
      </c>
      <c r="V86" s="25">
        <f t="shared" si="142"/>
        <v>14133.767093010676</v>
      </c>
    </row>
    <row r="87" spans="1:22" x14ac:dyDescent="0.25">
      <c r="A87" s="40" t="s">
        <v>314</v>
      </c>
      <c r="B87" s="41"/>
      <c r="C87" s="41"/>
      <c r="D87" s="41"/>
      <c r="E87" s="25"/>
      <c r="F87" s="77">
        <v>0</v>
      </c>
      <c r="G87" s="77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f t="shared" si="141"/>
        <v>1057.45119071049</v>
      </c>
      <c r="N87" s="25">
        <f t="shared" si="141"/>
        <v>2091.6015744932097</v>
      </c>
      <c r="O87" s="25">
        <f t="shared" si="141"/>
        <v>3102.1580594371176</v>
      </c>
      <c r="P87" s="25">
        <f t="shared" si="141"/>
        <v>3066.7672111789016</v>
      </c>
      <c r="Q87" s="25">
        <f t="shared" si="141"/>
        <v>3031.156543987403</v>
      </c>
      <c r="R87" s="25">
        <f t="shared" si="141"/>
        <v>2995.1795119071048</v>
      </c>
      <c r="S87" s="25">
        <f t="shared" si="141"/>
        <v>2960.0817555599288</v>
      </c>
      <c r="T87" s="25">
        <f t="shared" ref="T87:V87" si="143">T115*T60/1000*365</f>
        <v>2925.3952775670919</v>
      </c>
      <c r="U87" s="25">
        <f t="shared" si="143"/>
        <v>2891.1152585354935</v>
      </c>
      <c r="V87" s="25">
        <f t="shared" si="143"/>
        <v>2857.2369355460742</v>
      </c>
    </row>
    <row r="88" spans="1:22" x14ac:dyDescent="0.25">
      <c r="A88" s="40" t="s">
        <v>127</v>
      </c>
      <c r="B88" s="41">
        <v>4100</v>
      </c>
      <c r="C88" s="41">
        <v>4080</v>
      </c>
      <c r="D88" s="41">
        <v>4200</v>
      </c>
      <c r="E88" s="25">
        <f t="shared" ref="E88:E95" si="144">E116*E61/1000*365</f>
        <v>4046.520115122295</v>
      </c>
      <c r="F88" s="77">
        <v>3105</v>
      </c>
      <c r="G88" s="77">
        <v>3322</v>
      </c>
      <c r="H88" s="25">
        <f t="shared" ref="H88:R88" si="145">H116*H61/1000*365</f>
        <v>3770.0538653511621</v>
      </c>
      <c r="I88" s="25">
        <f t="shared" si="145"/>
        <v>3729.9039335261486</v>
      </c>
      <c r="J88" s="25">
        <f t="shared" si="145"/>
        <v>3842.7208449735372</v>
      </c>
      <c r="K88" s="25">
        <f t="shared" si="145"/>
        <v>3800.726242256153</v>
      </c>
      <c r="L88" s="25">
        <f t="shared" si="145"/>
        <v>3759.2469107377551</v>
      </c>
      <c r="M88" s="25">
        <f t="shared" si="145"/>
        <v>3718.1110933520154</v>
      </c>
      <c r="N88" s="25">
        <f t="shared" si="145"/>
        <v>3677.1470330326038</v>
      </c>
      <c r="O88" s="25">
        <f t="shared" si="145"/>
        <v>3635.8394585805354</v>
      </c>
      <c r="P88" s="25">
        <f t="shared" si="145"/>
        <v>3594.360127062138</v>
      </c>
      <c r="Q88" s="25">
        <f t="shared" si="145"/>
        <v>3552.6231599442467</v>
      </c>
      <c r="R88" s="25">
        <f t="shared" si="145"/>
        <v>3510.4568001605344</v>
      </c>
      <c r="S88" s="25">
        <f>S116*S61/1000*365</f>
        <v>3469.3209827747942</v>
      </c>
      <c r="T88" s="25">
        <f t="shared" ref="T88:V88" si="146">T116*T61/1000*365</f>
        <v>3428.6671982321627</v>
      </c>
      <c r="U88" s="25">
        <f t="shared" si="146"/>
        <v>3388.4897980327064</v>
      </c>
      <c r="V88" s="25">
        <f t="shared" si="146"/>
        <v>3348.7831998660686</v>
      </c>
    </row>
    <row r="89" spans="1:22" x14ac:dyDescent="0.25">
      <c r="A89" s="21" t="s">
        <v>241</v>
      </c>
      <c r="B89" s="42">
        <f>790</f>
        <v>790</v>
      </c>
      <c r="C89" s="42">
        <v>650</v>
      </c>
      <c r="D89" s="42">
        <v>570</v>
      </c>
      <c r="E89" s="25">
        <f t="shared" si="144"/>
        <v>656.2262445853155</v>
      </c>
      <c r="F89" s="77">
        <f>564+308</f>
        <v>872</v>
      </c>
      <c r="G89" s="77">
        <f>546+346</f>
        <v>892</v>
      </c>
      <c r="H89" s="25">
        <f t="shared" ref="H89:S89" si="147">H117*H62/1000*365</f>
        <v>882.56237829417125</v>
      </c>
      <c r="I89" s="25">
        <f t="shared" si="147"/>
        <v>873.16335626812076</v>
      </c>
      <c r="J89" s="25">
        <f t="shared" si="147"/>
        <v>863.59063568306749</v>
      </c>
      <c r="K89" s="25">
        <f t="shared" si="147"/>
        <v>854.1530139772384</v>
      </c>
      <c r="L89" s="25">
        <f t="shared" si="147"/>
        <v>844.831191310745</v>
      </c>
      <c r="M89" s="25">
        <f t="shared" si="147"/>
        <v>835.58656800380822</v>
      </c>
      <c r="N89" s="25">
        <f t="shared" si="147"/>
        <v>826.38054437664982</v>
      </c>
      <c r="O89" s="25">
        <f t="shared" si="147"/>
        <v>817.09732138993479</v>
      </c>
      <c r="P89" s="25">
        <f t="shared" si="147"/>
        <v>807.77549872344127</v>
      </c>
      <c r="Q89" s="25">
        <f t="shared" si="147"/>
        <v>798.39577653727986</v>
      </c>
      <c r="R89" s="25">
        <f t="shared" si="147"/>
        <v>788.91955515167274</v>
      </c>
      <c r="S89" s="25">
        <f t="shared" si="147"/>
        <v>779.67493184473608</v>
      </c>
      <c r="T89" s="25">
        <f t="shared" ref="T89:V89" si="148">T117*T62/1000*365</f>
        <v>770.53863778319464</v>
      </c>
      <c r="U89" s="25">
        <f t="shared" si="148"/>
        <v>761.50940355616842</v>
      </c>
      <c r="V89" s="25">
        <f t="shared" si="148"/>
        <v>752.58597462783689</v>
      </c>
    </row>
    <row r="90" spans="1:22" x14ac:dyDescent="0.25">
      <c r="A90" s="21" t="s">
        <v>148</v>
      </c>
      <c r="B90" s="42">
        <f>2070+840</f>
        <v>2910</v>
      </c>
      <c r="C90" s="42">
        <f>1690+790</f>
        <v>2480</v>
      </c>
      <c r="D90" s="42">
        <f>1720+850</f>
        <v>2570</v>
      </c>
      <c r="E90" s="25">
        <f t="shared" si="144"/>
        <v>2632.9241346504432</v>
      </c>
      <c r="F90" s="77">
        <f>1667+792</f>
        <v>2459</v>
      </c>
      <c r="G90" s="77">
        <f>1584+985</f>
        <v>2569</v>
      </c>
      <c r="H90" s="25">
        <f t="shared" ref="H90:S90" si="149">H118*H63/1000*365</f>
        <v>2558.4973537381225</v>
      </c>
      <c r="I90" s="25">
        <f t="shared" si="149"/>
        <v>2548.0376630846786</v>
      </c>
      <c r="J90" s="25">
        <f t="shared" si="149"/>
        <v>2537.3846721932855</v>
      </c>
      <c r="K90" s="25">
        <f t="shared" si="149"/>
        <v>2526.882025931408</v>
      </c>
      <c r="L90" s="25">
        <f t="shared" si="149"/>
        <v>2516.50824649483</v>
      </c>
      <c r="M90" s="25">
        <f t="shared" si="149"/>
        <v>2506.220378275118</v>
      </c>
      <c r="N90" s="25">
        <f t="shared" si="149"/>
        <v>2495.9754656638393</v>
      </c>
      <c r="O90" s="25">
        <f t="shared" si="149"/>
        <v>2485.6446418356936</v>
      </c>
      <c r="P90" s="25">
        <f t="shared" si="149"/>
        <v>2475.2708623991161</v>
      </c>
      <c r="Q90" s="25">
        <f t="shared" si="149"/>
        <v>2464.8326495498882</v>
      </c>
      <c r="R90" s="25">
        <f t="shared" si="149"/>
        <v>2454.2870476795779</v>
      </c>
      <c r="S90" s="25">
        <f t="shared" si="149"/>
        <v>2443.9991794598654</v>
      </c>
      <c r="T90" s="25">
        <f t="shared" ref="T90:V90" si="150">T118*T63/1000*365</f>
        <v>2433.8318653140154</v>
      </c>
      <c r="U90" s="25">
        <f t="shared" si="150"/>
        <v>2423.7836925796155</v>
      </c>
      <c r="V90" s="25">
        <f t="shared" si="150"/>
        <v>2413.8532651479482</v>
      </c>
    </row>
    <row r="91" spans="1:22" x14ac:dyDescent="0.25">
      <c r="A91" s="21" t="s">
        <v>130</v>
      </c>
      <c r="B91" s="42">
        <v>1150</v>
      </c>
      <c r="C91" s="42">
        <v>1180</v>
      </c>
      <c r="D91" s="42">
        <v>1090</v>
      </c>
      <c r="E91" s="25">
        <f t="shared" si="144"/>
        <v>1117.5760671228918</v>
      </c>
      <c r="F91" s="77">
        <v>951</v>
      </c>
      <c r="G91" s="77">
        <v>1064</v>
      </c>
      <c r="H91" s="25">
        <f t="shared" ref="H91:S91" si="151">H119*H64/1000*365</f>
        <v>1052.7425678307152</v>
      </c>
      <c r="I91" s="25">
        <f t="shared" si="151"/>
        <v>1041.5311783287896</v>
      </c>
      <c r="J91" s="25">
        <f t="shared" si="151"/>
        <v>1030.1125968237482</v>
      </c>
      <c r="K91" s="25">
        <f t="shared" si="151"/>
        <v>1018.8551646544636</v>
      </c>
      <c r="L91" s="25">
        <f t="shared" si="151"/>
        <v>1007.7358604872562</v>
      </c>
      <c r="M91" s="25">
        <f t="shared" si="151"/>
        <v>996.70864165476667</v>
      </c>
      <c r="N91" s="25">
        <f t="shared" si="151"/>
        <v>985.72746548963596</v>
      </c>
      <c r="O91" s="25">
        <f t="shared" si="151"/>
        <v>974.65420398978767</v>
      </c>
      <c r="P91" s="25">
        <f t="shared" si="151"/>
        <v>963.53489982258009</v>
      </c>
      <c r="Q91" s="25">
        <f t="shared" si="151"/>
        <v>952.34653165433383</v>
      </c>
      <c r="R91" s="25">
        <f t="shared" si="151"/>
        <v>941.04305681769029</v>
      </c>
      <c r="S91" s="25">
        <f t="shared" si="151"/>
        <v>930.01583798520073</v>
      </c>
      <c r="T91" s="25">
        <f t="shared" ref="T91:V91" si="152">T119*T64/1000*365</f>
        <v>919.11783699699424</v>
      </c>
      <c r="U91" s="25">
        <f t="shared" si="152"/>
        <v>908.34753966789583</v>
      </c>
      <c r="V91" s="25">
        <f t="shared" si="152"/>
        <v>897.70344955607447</v>
      </c>
    </row>
    <row r="92" spans="1:22" x14ac:dyDescent="0.25">
      <c r="A92" s="21" t="s">
        <v>131</v>
      </c>
      <c r="B92" s="42">
        <v>9270</v>
      </c>
      <c r="C92" s="42">
        <v>9010</v>
      </c>
      <c r="D92" s="42">
        <v>9060</v>
      </c>
      <c r="E92" s="25">
        <f t="shared" si="144"/>
        <v>8934.9488992451461</v>
      </c>
      <c r="F92" s="77">
        <v>8588</v>
      </c>
      <c r="G92" s="77">
        <v>8090</v>
      </c>
      <c r="H92" s="25">
        <f t="shared" ref="H92:S92" si="153">H120*H65/1000*365</f>
        <v>8004.4054264572251</v>
      </c>
      <c r="I92" s="25">
        <f t="shared" si="153"/>
        <v>7919.1609329698395</v>
      </c>
      <c r="J92" s="25">
        <f t="shared" si="153"/>
        <v>7832.3410792331997</v>
      </c>
      <c r="K92" s="25">
        <f t="shared" si="153"/>
        <v>7746.7465056904221</v>
      </c>
      <c r="L92" s="25">
        <f t="shared" si="153"/>
        <v>7662.2021723138168</v>
      </c>
      <c r="M92" s="25">
        <f t="shared" si="153"/>
        <v>7578.3579990479902</v>
      </c>
      <c r="N92" s="25">
        <f t="shared" si="153"/>
        <v>7494.8639058375529</v>
      </c>
      <c r="O92" s="25">
        <f t="shared" si="153"/>
        <v>7410.6696525163343</v>
      </c>
      <c r="P92" s="25">
        <f t="shared" si="153"/>
        <v>7326.1253191397291</v>
      </c>
      <c r="Q92" s="25">
        <f t="shared" si="153"/>
        <v>7241.0558656800367</v>
      </c>
      <c r="R92" s="25">
        <f t="shared" si="153"/>
        <v>7155.1112120818734</v>
      </c>
      <c r="S92" s="25">
        <f t="shared" si="153"/>
        <v>7071.2670388160468</v>
      </c>
      <c r="T92" s="25">
        <f t="shared" ref="T92:V92" si="154">T120*T65/1000*365</f>
        <v>6988.4053583700024</v>
      </c>
      <c r="U92" s="25">
        <f t="shared" si="154"/>
        <v>6906.514657813229</v>
      </c>
      <c r="V92" s="25">
        <f t="shared" si="154"/>
        <v>6825.5835591246641</v>
      </c>
    </row>
    <row r="93" spans="1:22" x14ac:dyDescent="0.25">
      <c r="A93" s="21" t="s">
        <v>149</v>
      </c>
      <c r="B93" s="42">
        <f>1470+580</f>
        <v>2050</v>
      </c>
      <c r="C93" s="42">
        <f>1390+550</f>
        <v>1940</v>
      </c>
      <c r="D93" s="42">
        <f>1390+510</f>
        <v>1900</v>
      </c>
      <c r="E93" s="25">
        <f t="shared" si="144"/>
        <v>1924.565381346998</v>
      </c>
      <c r="F93" s="77">
        <v>1683</v>
      </c>
      <c r="G93" s="77">
        <v>1718</v>
      </c>
      <c r="H93" s="25">
        <f t="shared" ref="H93:S93" si="155">H121*H66/1000*365</f>
        <v>1699.8230559522262</v>
      </c>
      <c r="I93" s="25">
        <f t="shared" si="155"/>
        <v>1681.7204552338917</v>
      </c>
      <c r="J93" s="25">
        <f t="shared" si="155"/>
        <v>1663.2833095330825</v>
      </c>
      <c r="K93" s="25">
        <f t="shared" si="155"/>
        <v>1645.1063654853085</v>
      </c>
      <c r="L93" s="25">
        <f t="shared" si="155"/>
        <v>1627.152451425851</v>
      </c>
      <c r="M93" s="25">
        <f t="shared" si="155"/>
        <v>1609.3472240252715</v>
      </c>
      <c r="N93" s="25">
        <f t="shared" si="155"/>
        <v>1591.6163399541304</v>
      </c>
      <c r="O93" s="25">
        <f t="shared" si="155"/>
        <v>1573.7367692241116</v>
      </c>
      <c r="P93" s="25">
        <f t="shared" si="155"/>
        <v>1555.7828551646546</v>
      </c>
      <c r="Q93" s="25">
        <f t="shared" si="155"/>
        <v>1537.7174261110392</v>
      </c>
      <c r="R93" s="25">
        <f t="shared" si="155"/>
        <v>1519.4661387338269</v>
      </c>
      <c r="S93" s="25">
        <f t="shared" si="155"/>
        <v>1501.660911333247</v>
      </c>
      <c r="T93" s="25">
        <f t="shared" ref="T93:V93" si="156">T121*T66/1000*365</f>
        <v>1484.0643270308613</v>
      </c>
      <c r="U93" s="25">
        <f t="shared" si="156"/>
        <v>1466.6739409299296</v>
      </c>
      <c r="V93" s="25">
        <f t="shared" si="156"/>
        <v>1449.4873367832108</v>
      </c>
    </row>
    <row r="94" spans="1:22" x14ac:dyDescent="0.25">
      <c r="A94" s="21" t="s">
        <v>133</v>
      </c>
      <c r="B94" s="42">
        <v>1990</v>
      </c>
      <c r="C94" s="42">
        <v>1950</v>
      </c>
      <c r="D94" s="42">
        <v>2230</v>
      </c>
      <c r="E94" s="25">
        <f t="shared" si="144"/>
        <v>2017.3371486822914</v>
      </c>
      <c r="F94" s="77">
        <v>2000</v>
      </c>
      <c r="G94" s="77">
        <v>2192</v>
      </c>
      <c r="H94" s="25">
        <f t="shared" ref="H94:S94" si="157">H122*H67/1000*365</f>
        <v>2168.8079968843313</v>
      </c>
      <c r="I94" s="25">
        <f t="shared" si="157"/>
        <v>2145.7108485871304</v>
      </c>
      <c r="J94" s="25">
        <f t="shared" si="157"/>
        <v>2122.18685360682</v>
      </c>
      <c r="K94" s="25">
        <f t="shared" si="157"/>
        <v>2098.9948504911508</v>
      </c>
      <c r="L94" s="25">
        <f t="shared" si="157"/>
        <v>2076.0874118308889</v>
      </c>
      <c r="M94" s="25">
        <f t="shared" si="157"/>
        <v>2053.3696828075645</v>
      </c>
      <c r="N94" s="25">
        <f t="shared" si="157"/>
        <v>2030.7468086027095</v>
      </c>
      <c r="O94" s="25">
        <f t="shared" si="157"/>
        <v>2007.9342247609159</v>
      </c>
      <c r="P94" s="25">
        <f t="shared" si="157"/>
        <v>1985.0267861006535</v>
      </c>
      <c r="Q94" s="25">
        <f t="shared" si="157"/>
        <v>1961.9770652126876</v>
      </c>
      <c r="R94" s="25">
        <f t="shared" si="157"/>
        <v>1938.6902072785495</v>
      </c>
      <c r="S94" s="25">
        <f t="shared" si="157"/>
        <v>1915.9724782552253</v>
      </c>
      <c r="T94" s="25">
        <f t="shared" ref="T94:V94" si="158">T122*T67/1000*365</f>
        <v>1893.5209574223795</v>
      </c>
      <c r="U94" s="25">
        <f t="shared" si="158"/>
        <v>1871.3325253308533</v>
      </c>
      <c r="V94" s="25">
        <f t="shared" si="158"/>
        <v>1849.4040990854464</v>
      </c>
    </row>
    <row r="95" spans="1:22" x14ac:dyDescent="0.25">
      <c r="A95" s="21" t="s">
        <v>134</v>
      </c>
      <c r="B95" s="42">
        <v>770</v>
      </c>
      <c r="C95" s="42">
        <v>820</v>
      </c>
      <c r="D95" s="42">
        <v>720</v>
      </c>
      <c r="E95" s="25">
        <f t="shared" si="144"/>
        <v>754.82310807936199</v>
      </c>
      <c r="F95" s="77">
        <v>844</v>
      </c>
      <c r="G95" s="77">
        <v>764</v>
      </c>
      <c r="H95" s="25">
        <f t="shared" ref="H95:S95" si="159">H123*H68/1000*365</f>
        <v>755.91665584837051</v>
      </c>
      <c r="I95" s="25">
        <f t="shared" si="159"/>
        <v>747.86637240901803</v>
      </c>
      <c r="J95" s="25">
        <f t="shared" si="159"/>
        <v>739.66731576442066</v>
      </c>
      <c r="K95" s="25">
        <f t="shared" si="159"/>
        <v>731.5839716127914</v>
      </c>
      <c r="L95" s="25">
        <f t="shared" si="159"/>
        <v>723.59980959799191</v>
      </c>
      <c r="M95" s="25">
        <f t="shared" si="159"/>
        <v>715.68176900774563</v>
      </c>
      <c r="N95" s="25">
        <f t="shared" si="159"/>
        <v>707.79678912977613</v>
      </c>
      <c r="O95" s="25">
        <f t="shared" si="159"/>
        <v>699.8456878272533</v>
      </c>
      <c r="P95" s="25">
        <f t="shared" si="159"/>
        <v>691.86152581245381</v>
      </c>
      <c r="Q95" s="25">
        <f t="shared" si="159"/>
        <v>683.82777272923965</v>
      </c>
      <c r="R95" s="25">
        <f t="shared" si="159"/>
        <v>675.71136786533395</v>
      </c>
      <c r="S95" s="25">
        <f t="shared" si="159"/>
        <v>667.79332727508745</v>
      </c>
      <c r="T95" s="25">
        <f t="shared" ref="T95:V95" si="160">T123*T68/1000*365</f>
        <v>659.96807092641325</v>
      </c>
      <c r="U95" s="25">
        <f t="shared" si="160"/>
        <v>652.2345115660454</v>
      </c>
      <c r="V95" s="25">
        <f t="shared" si="160"/>
        <v>644.59157468124147</v>
      </c>
    </row>
    <row r="96" spans="1:22" x14ac:dyDescent="0.25">
      <c r="A96" s="21" t="s">
        <v>136</v>
      </c>
      <c r="B96" s="25">
        <f>B69*$E$124/1000*365</f>
        <v>6073.5900963039276</v>
      </c>
      <c r="C96" s="25">
        <f>C69*$E$124/1000*365</f>
        <v>6055.5502670241813</v>
      </c>
      <c r="D96" s="25">
        <f>D69*$E$124/1000*365</f>
        <v>6037.6874807566637</v>
      </c>
      <c r="E96" s="42">
        <v>6020</v>
      </c>
      <c r="F96" s="77">
        <v>5402</v>
      </c>
      <c r="G96" s="77">
        <v>4920</v>
      </c>
      <c r="H96" s="25">
        <f>H124*H69/1000*365</f>
        <v>5079.1764705882351</v>
      </c>
      <c r="I96" s="25">
        <f t="shared" ref="I96:S96" si="161">I124*I69/1000*365</f>
        <v>5063.6116250082005</v>
      </c>
      <c r="J96" s="25">
        <f t="shared" si="161"/>
        <v>5047.7591334112867</v>
      </c>
      <c r="K96" s="25">
        <f t="shared" si="161"/>
        <v>5032.130366494167</v>
      </c>
      <c r="L96" s="25">
        <f t="shared" si="161"/>
        <v>5016.6933635883006</v>
      </c>
      <c r="M96" s="25">
        <f t="shared" si="161"/>
        <v>5001.3842033566034</v>
      </c>
      <c r="N96" s="25">
        <f t="shared" si="161"/>
        <v>4986.1389644619903</v>
      </c>
      <c r="O96" s="25">
        <f t="shared" si="161"/>
        <v>4970.765882893209</v>
      </c>
      <c r="P96" s="25">
        <f t="shared" si="161"/>
        <v>4955.3288799873426</v>
      </c>
      <c r="Q96" s="25">
        <f t="shared" si="161"/>
        <v>4939.7959950758495</v>
      </c>
      <c r="R96" s="25">
        <f t="shared" si="161"/>
        <v>4924.1033068216457</v>
      </c>
      <c r="S96" s="25">
        <f t="shared" si="161"/>
        <v>4908.7941465899485</v>
      </c>
      <c r="T96" s="25">
        <f t="shared" ref="T96:V96" si="162">T124*T69/1000*365</f>
        <v>4893.6643803389979</v>
      </c>
      <c r="U96" s="25">
        <f t="shared" si="162"/>
        <v>4878.711905915583</v>
      </c>
      <c r="V96" s="25">
        <f t="shared" si="162"/>
        <v>4863.9346457996971</v>
      </c>
    </row>
    <row r="97" spans="1:22" x14ac:dyDescent="0.25">
      <c r="A97" s="21" t="s">
        <v>137</v>
      </c>
      <c r="B97" s="25">
        <f>B70*$E$125/1000*365</f>
        <v>6897.5189937209961</v>
      </c>
      <c r="C97" s="25">
        <f>C70*$E$125/1000*365</f>
        <v>6829.8266934986914</v>
      </c>
      <c r="D97" s="45">
        <f>D70*$E$125/1000*365</f>
        <v>7574.3345731086492</v>
      </c>
      <c r="E97" s="42">
        <v>7500</v>
      </c>
      <c r="F97" s="77">
        <v>5983</v>
      </c>
      <c r="G97" s="77">
        <v>6000</v>
      </c>
      <c r="H97" s="25">
        <f t="shared" ref="H97:S97" si="163">H125*H70/1000*365</f>
        <v>5936.518239646889</v>
      </c>
      <c r="I97" s="25">
        <f t="shared" si="163"/>
        <v>5873.2961183954303</v>
      </c>
      <c r="J97" s="25">
        <f t="shared" si="163"/>
        <v>5808.9056211865509</v>
      </c>
      <c r="K97" s="25">
        <f t="shared" si="163"/>
        <v>5745.4238608334417</v>
      </c>
      <c r="L97" s="25">
        <f t="shared" si="163"/>
        <v>5682.7210177852794</v>
      </c>
      <c r="M97" s="25">
        <f t="shared" si="163"/>
        <v>5620.5374529404144</v>
      </c>
      <c r="N97" s="25">
        <f t="shared" si="163"/>
        <v>5558.6135271971971</v>
      </c>
      <c r="O97" s="25">
        <f t="shared" si="163"/>
        <v>5496.1703232506825</v>
      </c>
      <c r="P97" s="25">
        <f t="shared" si="163"/>
        <v>5433.4674802025202</v>
      </c>
      <c r="Q97" s="25">
        <f t="shared" si="163"/>
        <v>5370.3751785018821</v>
      </c>
      <c r="R97" s="25">
        <f t="shared" si="163"/>
        <v>5306.6337790471252</v>
      </c>
      <c r="S97" s="25">
        <f t="shared" si="163"/>
        <v>5244.4502142022593</v>
      </c>
      <c r="T97" s="25">
        <f t="shared" ref="T97:V97" si="164">T125*T70/1000*365</f>
        <v>5182.9953214116231</v>
      </c>
      <c r="U97" s="25">
        <f t="shared" si="164"/>
        <v>5122.2605620370068</v>
      </c>
      <c r="V97" s="25">
        <f t="shared" si="164"/>
        <v>5062.2374974966606</v>
      </c>
    </row>
    <row r="98" spans="1:22" x14ac:dyDescent="0.25">
      <c r="A98" s="21" t="s">
        <v>251</v>
      </c>
      <c r="B98" s="25"/>
      <c r="C98" s="25"/>
      <c r="D98" s="45"/>
      <c r="E98" s="23"/>
      <c r="F98" s="77">
        <v>3160</v>
      </c>
      <c r="G98" s="77">
        <v>2930</v>
      </c>
      <c r="H98" s="25">
        <f t="shared" ref="H98:S98" si="165">H126*H71/1000*365</f>
        <v>2898.9997403608982</v>
      </c>
      <c r="I98" s="25">
        <f t="shared" si="165"/>
        <v>2868.1262711497689</v>
      </c>
      <c r="J98" s="25">
        <f t="shared" si="165"/>
        <v>2836.6822450127656</v>
      </c>
      <c r="K98" s="25">
        <f t="shared" si="165"/>
        <v>2805.6819853736638</v>
      </c>
      <c r="L98" s="25">
        <f t="shared" si="165"/>
        <v>2775.0620970184773</v>
      </c>
      <c r="M98" s="25">
        <f t="shared" si="165"/>
        <v>2744.6957895192349</v>
      </c>
      <c r="N98" s="25">
        <f t="shared" si="165"/>
        <v>2714.4562724479642</v>
      </c>
      <c r="O98" s="25">
        <f t="shared" si="165"/>
        <v>2683.9631745207503</v>
      </c>
      <c r="P98" s="25">
        <f t="shared" si="165"/>
        <v>2653.3432861655638</v>
      </c>
      <c r="Q98" s="25">
        <f t="shared" si="165"/>
        <v>2622.5332121684196</v>
      </c>
      <c r="R98" s="25">
        <f t="shared" si="165"/>
        <v>2591.406162101347</v>
      </c>
      <c r="S98" s="25">
        <f t="shared" si="165"/>
        <v>2561.0398546021038</v>
      </c>
      <c r="T98" s="25">
        <f t="shared" ref="T98:V98" si="166">T126*T71/1000*365</f>
        <v>2531.0293819560093</v>
      </c>
      <c r="U98" s="25">
        <f t="shared" si="166"/>
        <v>2501.3705744614058</v>
      </c>
      <c r="V98" s="25">
        <f t="shared" si="166"/>
        <v>2472.0593112775364</v>
      </c>
    </row>
    <row r="99" spans="1:22" x14ac:dyDescent="0.25">
      <c r="A99" s="21" t="s">
        <v>252</v>
      </c>
      <c r="B99" s="25"/>
      <c r="C99" s="25"/>
      <c r="D99" s="45"/>
      <c r="E99" s="23"/>
      <c r="F99" s="77">
        <v>13541</v>
      </c>
      <c r="G99" s="77">
        <v>13179</v>
      </c>
      <c r="H99" s="25">
        <f t="shared" ref="H99:S99" si="167">H127*H72/1000*365</f>
        <v>13057.5319</v>
      </c>
      <c r="I99" s="25">
        <f t="shared" si="167"/>
        <v>12918.473140016182</v>
      </c>
      <c r="J99" s="25">
        <f t="shared" si="167"/>
        <v>13405.213907533513</v>
      </c>
      <c r="K99" s="25">
        <f t="shared" si="167"/>
        <v>13880.219383325681</v>
      </c>
      <c r="L99" s="25">
        <f t="shared" si="167"/>
        <v>14548.363326042554</v>
      </c>
      <c r="M99" s="25">
        <f t="shared" si="167"/>
        <v>14997.159827614863</v>
      </c>
      <c r="N99" s="25">
        <f t="shared" si="167"/>
        <v>15433.223982361304</v>
      </c>
      <c r="O99" s="25">
        <f t="shared" si="167"/>
        <v>15458.033334632291</v>
      </c>
      <c r="P99" s="25">
        <f t="shared" si="167"/>
        <v>15281.680969074332</v>
      </c>
      <c r="Q99" s="25">
        <f t="shared" si="167"/>
        <v>15104.233247208553</v>
      </c>
      <c r="R99" s="25">
        <f t="shared" si="167"/>
        <v>14924.959931496425</v>
      </c>
      <c r="S99" s="25">
        <f t="shared" si="167"/>
        <v>14750.068041015546</v>
      </c>
      <c r="T99" s="25">
        <f t="shared" ref="T99:V99" si="168">T127*T72/1000*365</f>
        <v>14577.225547886248</v>
      </c>
      <c r="U99" s="25">
        <f t="shared" si="168"/>
        <v>14406.408437104204</v>
      </c>
      <c r="V99" s="25">
        <f t="shared" si="168"/>
        <v>14237.592975074875</v>
      </c>
    </row>
    <row r="100" spans="1:22" x14ac:dyDescent="0.25">
      <c r="A100" s="21" t="s">
        <v>249</v>
      </c>
      <c r="B100" s="25"/>
      <c r="C100" s="25"/>
      <c r="D100" s="45"/>
      <c r="E100" s="23"/>
      <c r="F100" s="77">
        <f>6421+228</f>
        <v>6649</v>
      </c>
      <c r="G100" s="77">
        <f>6127+253</f>
        <v>6380</v>
      </c>
      <c r="H100" s="25">
        <f t="shared" ref="H100:S100" si="169">H128*H73/1000*365</f>
        <v>6312.4977281578604</v>
      </c>
      <c r="I100" s="25">
        <f t="shared" si="169"/>
        <v>6245.2715392271411</v>
      </c>
      <c r="J100" s="25">
        <f t="shared" si="169"/>
        <v>6176.8029771950314</v>
      </c>
      <c r="K100" s="25">
        <f t="shared" si="169"/>
        <v>6109.3007053528927</v>
      </c>
      <c r="L100" s="25">
        <f t="shared" si="169"/>
        <v>6042.6266822450116</v>
      </c>
      <c r="M100" s="25">
        <f t="shared" si="169"/>
        <v>5976.5048249599713</v>
      </c>
      <c r="N100" s="25">
        <f t="shared" si="169"/>
        <v>5910.6590505863505</v>
      </c>
      <c r="O100" s="25">
        <f t="shared" si="169"/>
        <v>5844.2611103898907</v>
      </c>
      <c r="P100" s="25">
        <f t="shared" si="169"/>
        <v>5777.5870872820115</v>
      </c>
      <c r="Q100" s="25">
        <f t="shared" si="169"/>
        <v>5710.4989398070002</v>
      </c>
      <c r="R100" s="25">
        <f t="shared" si="169"/>
        <v>5642.7205850534419</v>
      </c>
      <c r="S100" s="25">
        <f t="shared" si="169"/>
        <v>5576.5987277684017</v>
      </c>
      <c r="T100" s="25">
        <f t="shared" ref="T100:V100" si="170">T128*T73/1000*365</f>
        <v>5511.2516917676912</v>
      </c>
      <c r="U100" s="25">
        <f t="shared" si="170"/>
        <v>5446.6703976326826</v>
      </c>
      <c r="V100" s="25">
        <f t="shared" si="170"/>
        <v>5382.8458723381145</v>
      </c>
    </row>
    <row r="101" spans="1:22" x14ac:dyDescent="0.25">
      <c r="A101" s="21" t="s">
        <v>250</v>
      </c>
      <c r="B101" s="25"/>
      <c r="C101" s="25"/>
      <c r="D101" s="45"/>
      <c r="E101" s="23"/>
      <c r="F101" s="77">
        <v>3935</v>
      </c>
      <c r="G101" s="77">
        <v>3792</v>
      </c>
      <c r="H101" s="25">
        <f t="shared" ref="H101:S101" si="171">H129*H74/1000*365</f>
        <v>3751.8795274568342</v>
      </c>
      <c r="I101" s="25">
        <f t="shared" si="171"/>
        <v>3711.9231468259113</v>
      </c>
      <c r="J101" s="25">
        <f t="shared" si="171"/>
        <v>3671.2283525898997</v>
      </c>
      <c r="K101" s="25">
        <f t="shared" si="171"/>
        <v>3631.1078800467344</v>
      </c>
      <c r="L101" s="25">
        <f t="shared" si="171"/>
        <v>3591.4796832402958</v>
      </c>
      <c r="M101" s="25">
        <f t="shared" si="171"/>
        <v>3552.179670258341</v>
      </c>
      <c r="N101" s="25">
        <f t="shared" si="171"/>
        <v>3513.0437491886278</v>
      </c>
      <c r="O101" s="25">
        <f t="shared" si="171"/>
        <v>3473.5796442944302</v>
      </c>
      <c r="P101" s="25">
        <f t="shared" si="171"/>
        <v>3433.9514474879911</v>
      </c>
      <c r="Q101" s="25">
        <f t="shared" si="171"/>
        <v>3394.0771128131892</v>
      </c>
      <c r="R101" s="25">
        <f t="shared" si="171"/>
        <v>3353.7925483577819</v>
      </c>
      <c r="S101" s="25">
        <f t="shared" si="171"/>
        <v>3314.4925353758272</v>
      </c>
      <c r="T101" s="25">
        <f t="shared" ref="T101:V101" si="172">T129*T74/1000*365</f>
        <v>3275.6530431321448</v>
      </c>
      <c r="U101" s="25">
        <f t="shared" si="172"/>
        <v>3237.2686752073869</v>
      </c>
      <c r="V101" s="25">
        <f t="shared" si="172"/>
        <v>3199.334098417889</v>
      </c>
    </row>
    <row r="102" spans="1:22" x14ac:dyDescent="0.25">
      <c r="A102" s="21" t="s">
        <v>150</v>
      </c>
      <c r="B102" s="25">
        <f>B75*B130/1000*365</f>
        <v>731.32094717425798</v>
      </c>
      <c r="C102" s="25">
        <f>C75*C130/1000*365</f>
        <v>724.14375822268778</v>
      </c>
      <c r="D102" s="25">
        <f>D75*D130/1000*365</f>
        <v>717.03700625428553</v>
      </c>
      <c r="E102" s="42">
        <v>710</v>
      </c>
      <c r="F102" s="77">
        <v>785</v>
      </c>
      <c r="G102" s="77">
        <v>791</v>
      </c>
      <c r="H102" s="25">
        <f t="shared" ref="H102:S102" si="173">H130*H75/1000*365</f>
        <v>581.38499999999999</v>
      </c>
      <c r="I102" s="25">
        <f t="shared" si="173"/>
        <v>575.19342583480943</v>
      </c>
      <c r="J102" s="25">
        <f t="shared" si="173"/>
        <v>568.88742832775699</v>
      </c>
      <c r="K102" s="25">
        <f t="shared" si="173"/>
        <v>562.67042675326365</v>
      </c>
      <c r="L102" s="25">
        <f t="shared" si="173"/>
        <v>556.52970740667831</v>
      </c>
      <c r="M102" s="25">
        <f t="shared" si="173"/>
        <v>550.43984287869841</v>
      </c>
      <c r="N102" s="25">
        <f t="shared" si="173"/>
        <v>544.37540576002095</v>
      </c>
      <c r="O102" s="25">
        <f t="shared" si="173"/>
        <v>538.26011382273828</v>
      </c>
      <c r="P102" s="25">
        <f t="shared" si="173"/>
        <v>532.11939447615282</v>
      </c>
      <c r="Q102" s="25">
        <f t="shared" si="173"/>
        <v>525.94053401561348</v>
      </c>
      <c r="R102" s="25">
        <f t="shared" si="173"/>
        <v>519.69810503181782</v>
      </c>
      <c r="S102" s="25">
        <f t="shared" si="173"/>
        <v>513.60824050383769</v>
      </c>
      <c r="T102" s="25">
        <f t="shared" ref="T102:V102" si="174">T130*T75/1000*365</f>
        <v>507.58973750211698</v>
      </c>
      <c r="U102" s="25">
        <f t="shared" si="174"/>
        <v>501.64175980650549</v>
      </c>
      <c r="V102" s="25">
        <f t="shared" si="174"/>
        <v>495.76348099574847</v>
      </c>
    </row>
    <row r="103" spans="1:22" x14ac:dyDescent="0.25">
      <c r="A103" s="21" t="s">
        <v>151</v>
      </c>
      <c r="B103" s="21">
        <v>500</v>
      </c>
      <c r="C103" s="21">
        <v>500</v>
      </c>
      <c r="D103" s="21">
        <v>500</v>
      </c>
      <c r="E103" s="42">
        <v>500</v>
      </c>
      <c r="F103" s="77">
        <v>587</v>
      </c>
      <c r="G103" s="77">
        <v>745</v>
      </c>
      <c r="H103" s="25">
        <f t="shared" ref="H103:S103" si="175">H131*H76/1000*365</f>
        <v>319.80487804878049</v>
      </c>
      <c r="I103" s="25">
        <f t="shared" si="175"/>
        <v>316.39905295726845</v>
      </c>
      <c r="J103" s="25">
        <f t="shared" si="175"/>
        <v>312.93028653962989</v>
      </c>
      <c r="K103" s="25">
        <f t="shared" si="175"/>
        <v>309.51047448675638</v>
      </c>
      <c r="L103" s="25">
        <f t="shared" si="175"/>
        <v>306.13262331796716</v>
      </c>
      <c r="M103" s="25">
        <f t="shared" si="175"/>
        <v>302.78274607190087</v>
      </c>
      <c r="N103" s="25">
        <f t="shared" si="175"/>
        <v>299.446855787196</v>
      </c>
      <c r="O103" s="25">
        <f t="shared" si="175"/>
        <v>296.08299157976819</v>
      </c>
      <c r="P103" s="25">
        <f t="shared" si="175"/>
        <v>292.70514041097903</v>
      </c>
      <c r="Q103" s="25">
        <f t="shared" si="175"/>
        <v>289.30630880014763</v>
      </c>
      <c r="R103" s="25">
        <f t="shared" si="175"/>
        <v>285.87250978591271</v>
      </c>
      <c r="S103" s="25">
        <f t="shared" si="175"/>
        <v>282.52263253984643</v>
      </c>
      <c r="T103" s="25">
        <f t="shared" ref="T103:V103" si="176">T131*T76/1000*365</f>
        <v>279.21200942693241</v>
      </c>
      <c r="U103" s="25">
        <f t="shared" si="176"/>
        <v>275.94018046405597</v>
      </c>
      <c r="V103" s="25">
        <f t="shared" si="176"/>
        <v>272.70669105822179</v>
      </c>
    </row>
    <row r="104" spans="1:22" x14ac:dyDescent="0.25">
      <c r="A104" s="21" t="s">
        <v>140</v>
      </c>
      <c r="B104" s="21">
        <v>650</v>
      </c>
      <c r="C104" s="21">
        <v>650</v>
      </c>
      <c r="D104" s="21">
        <v>650</v>
      </c>
      <c r="E104" s="42">
        <v>650</v>
      </c>
      <c r="F104" s="77">
        <v>746</v>
      </c>
      <c r="G104" s="77">
        <v>635</v>
      </c>
      <c r="H104" s="25">
        <f t="shared" ref="H104:S104" si="177">H132*H77/1000*365</f>
        <v>628.28151369596276</v>
      </c>
      <c r="I104" s="25">
        <f t="shared" si="177"/>
        <v>621.59050586351657</v>
      </c>
      <c r="J104" s="25">
        <f t="shared" si="177"/>
        <v>614.77584490891013</v>
      </c>
      <c r="K104" s="25">
        <f t="shared" si="177"/>
        <v>608.05735860487266</v>
      </c>
      <c r="L104" s="25">
        <f t="shared" si="177"/>
        <v>601.42130771560869</v>
      </c>
      <c r="M104" s="25">
        <f t="shared" si="177"/>
        <v>594.84021376952705</v>
      </c>
      <c r="N104" s="25">
        <f t="shared" si="177"/>
        <v>588.2865982950367</v>
      </c>
      <c r="O104" s="25">
        <f t="shared" si="177"/>
        <v>581.67802587736378</v>
      </c>
      <c r="P104" s="25">
        <f t="shared" si="177"/>
        <v>575.04197498809992</v>
      </c>
      <c r="Q104" s="25">
        <f t="shared" si="177"/>
        <v>568.3647063914492</v>
      </c>
      <c r="R104" s="25">
        <f t="shared" si="177"/>
        <v>561.6187416158208</v>
      </c>
      <c r="S104" s="25">
        <f t="shared" si="177"/>
        <v>555.03764766973904</v>
      </c>
      <c r="T104" s="25">
        <f t="shared" ref="T104:V104" si="178">T132*T77/1000*365</f>
        <v>548.53367151606335</v>
      </c>
      <c r="U104" s="25">
        <f t="shared" si="178"/>
        <v>542.1059094822499</v>
      </c>
      <c r="V104" s="25">
        <f t="shared" si="178"/>
        <v>535.75346848506308</v>
      </c>
    </row>
    <row r="105" spans="1:22" ht="16.5" customHeight="1" x14ac:dyDescent="0.25">
      <c r="A105" s="21" t="s">
        <v>141</v>
      </c>
      <c r="B105" s="21">
        <v>520</v>
      </c>
      <c r="C105" s="21">
        <v>520</v>
      </c>
      <c r="D105" s="21">
        <v>520</v>
      </c>
      <c r="E105" s="42">
        <v>520</v>
      </c>
      <c r="F105" s="77">
        <v>636</v>
      </c>
      <c r="G105" s="77">
        <v>699</v>
      </c>
      <c r="H105" s="25">
        <f t="shared" ref="H105:S105" si="179">H133*H78/1000*365</f>
        <v>691.60437491886262</v>
      </c>
      <c r="I105" s="25">
        <f t="shared" si="179"/>
        <v>684.2389977930676</v>
      </c>
      <c r="J105" s="25">
        <f t="shared" si="179"/>
        <v>676.73750486823303</v>
      </c>
      <c r="K105" s="25">
        <f t="shared" si="179"/>
        <v>669.34187978709576</v>
      </c>
      <c r="L105" s="25">
        <f t="shared" si="179"/>
        <v>662.03699857198501</v>
      </c>
      <c r="M105" s="25">
        <f t="shared" si="179"/>
        <v>654.79261326755818</v>
      </c>
      <c r="N105" s="25">
        <f t="shared" si="179"/>
        <v>647.57847591847326</v>
      </c>
      <c r="O105" s="25">
        <f t="shared" si="179"/>
        <v>640.3038426587043</v>
      </c>
      <c r="P105" s="25">
        <f t="shared" si="179"/>
        <v>632.99896144359332</v>
      </c>
      <c r="Q105" s="25">
        <f t="shared" si="179"/>
        <v>625.64870829546919</v>
      </c>
      <c r="R105" s="25">
        <f t="shared" si="179"/>
        <v>618.2228352589899</v>
      </c>
      <c r="S105" s="25">
        <f t="shared" si="179"/>
        <v>610.97844995456308</v>
      </c>
      <c r="T105" s="25">
        <f t="shared" ref="T105:V105" si="180">T133*T78/1000*365</f>
        <v>603.81895494445382</v>
      </c>
      <c r="U105" s="25">
        <f t="shared" si="180"/>
        <v>596.74335547731118</v>
      </c>
      <c r="V105" s="25">
        <f t="shared" si="180"/>
        <v>589.75066845836079</v>
      </c>
    </row>
    <row r="106" spans="1:22" ht="16.5" hidden="1" customHeight="1" x14ac:dyDescent="0.25">
      <c r="A106" s="32"/>
      <c r="B106" s="32"/>
      <c r="C106" s="32"/>
      <c r="D106" s="32"/>
      <c r="E106" s="69" t="s">
        <v>247</v>
      </c>
      <c r="F106" s="68">
        <f>SUM(F83:F105)</f>
        <v>87389</v>
      </c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1:22" ht="18" hidden="1" customHeight="1" x14ac:dyDescent="0.25">
      <c r="A107" s="32"/>
      <c r="B107" s="32"/>
      <c r="C107" s="32"/>
      <c r="D107" s="32"/>
      <c r="E107" s="39" t="s">
        <v>248</v>
      </c>
      <c r="F107" s="68">
        <v>65854</v>
      </c>
      <c r="G107" s="68">
        <f>F106-F107</f>
        <v>21535</v>
      </c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1:22" ht="23.25" customHeight="1" x14ac:dyDescent="0.25">
      <c r="E108" s="39"/>
      <c r="G108" s="78"/>
    </row>
    <row r="109" spans="1:22" x14ac:dyDescent="0.25">
      <c r="A109" s="27" t="s">
        <v>152</v>
      </c>
    </row>
    <row r="110" spans="1:22" x14ac:dyDescent="0.25">
      <c r="A110" s="26" t="s">
        <v>153</v>
      </c>
      <c r="B110" s="26">
        <v>2012</v>
      </c>
      <c r="C110" s="26">
        <f>B110+1</f>
        <v>2013</v>
      </c>
      <c r="D110" s="26">
        <f t="shared" ref="D110" si="181">C110+1</f>
        <v>2014</v>
      </c>
      <c r="E110" s="26">
        <f t="shared" ref="E110" si="182">D110+1</f>
        <v>2015</v>
      </c>
      <c r="F110" s="26">
        <f t="shared" ref="F110" si="183">E110+1</f>
        <v>2016</v>
      </c>
      <c r="G110" s="26">
        <f t="shared" ref="G110" si="184">F110+1</f>
        <v>2017</v>
      </c>
      <c r="H110" s="26">
        <f t="shared" ref="H110" si="185">G110+1</f>
        <v>2018</v>
      </c>
      <c r="I110" s="26">
        <f t="shared" ref="I110" si="186">H110+1</f>
        <v>2019</v>
      </c>
      <c r="J110" s="26">
        <f t="shared" ref="J110" si="187">I110+1</f>
        <v>2020</v>
      </c>
      <c r="K110" s="26">
        <f t="shared" ref="K110" si="188">J110+1</f>
        <v>2021</v>
      </c>
      <c r="L110" s="26">
        <f t="shared" ref="L110" si="189">K110+1</f>
        <v>2022</v>
      </c>
      <c r="M110" s="26">
        <f t="shared" ref="M110" si="190">L110+1</f>
        <v>2023</v>
      </c>
      <c r="N110" s="26">
        <f t="shared" ref="N110" si="191">M110+1</f>
        <v>2024</v>
      </c>
      <c r="O110" s="26">
        <f t="shared" ref="O110" si="192">N110+1</f>
        <v>2025</v>
      </c>
      <c r="P110" s="26">
        <f t="shared" ref="P110" si="193">O110+1</f>
        <v>2026</v>
      </c>
      <c r="Q110" s="26">
        <f t="shared" ref="Q110" si="194">P110+1</f>
        <v>2027</v>
      </c>
      <c r="R110" s="26">
        <f t="shared" ref="R110:S110" si="195">Q110+1</f>
        <v>2028</v>
      </c>
      <c r="S110" s="26">
        <f t="shared" si="195"/>
        <v>2029</v>
      </c>
      <c r="T110" s="26">
        <f t="shared" ref="T110" si="196">S110+1</f>
        <v>2030</v>
      </c>
      <c r="U110" s="26">
        <f t="shared" ref="U110" si="197">T110+1</f>
        <v>2031</v>
      </c>
      <c r="V110" s="26">
        <f t="shared" ref="V110" si="198">U110+1</f>
        <v>2032</v>
      </c>
    </row>
    <row r="111" spans="1:22" x14ac:dyDescent="0.25">
      <c r="A111" s="21" t="s">
        <v>123</v>
      </c>
      <c r="B111" s="25">
        <f t="shared" ref="B111:D114" si="199">B83/B56*1000/365</f>
        <v>81.348788198103279</v>
      </c>
      <c r="C111" s="25">
        <f t="shared" si="199"/>
        <v>68.746331355506697</v>
      </c>
      <c r="D111" s="25">
        <f t="shared" si="199"/>
        <v>65.558659599554687</v>
      </c>
      <c r="E111" s="25">
        <v>71.25</v>
      </c>
      <c r="F111" s="77">
        <f t="shared" ref="F111:G114" si="200">F83/F56/365*1000</f>
        <v>56.458080823601129</v>
      </c>
      <c r="G111" s="77">
        <f t="shared" si="200"/>
        <v>72.392053088344511</v>
      </c>
      <c r="H111" s="25">
        <v>69</v>
      </c>
      <c r="I111" s="25">
        <f t="shared" ref="I111:S111" si="201">H111</f>
        <v>69</v>
      </c>
      <c r="J111" s="25">
        <f t="shared" si="201"/>
        <v>69</v>
      </c>
      <c r="K111" s="25">
        <f t="shared" si="201"/>
        <v>69</v>
      </c>
      <c r="L111" s="25">
        <f t="shared" si="201"/>
        <v>69</v>
      </c>
      <c r="M111" s="25">
        <f t="shared" si="201"/>
        <v>69</v>
      </c>
      <c r="N111" s="25">
        <f t="shared" si="201"/>
        <v>69</v>
      </c>
      <c r="O111" s="25">
        <f t="shared" si="201"/>
        <v>69</v>
      </c>
      <c r="P111" s="25">
        <f t="shared" si="201"/>
        <v>69</v>
      </c>
      <c r="Q111" s="25">
        <f t="shared" si="201"/>
        <v>69</v>
      </c>
      <c r="R111" s="25">
        <f t="shared" si="201"/>
        <v>69</v>
      </c>
      <c r="S111" s="25">
        <f t="shared" si="201"/>
        <v>69</v>
      </c>
      <c r="T111" s="25">
        <f t="shared" ref="T111:T133" si="202">S111</f>
        <v>69</v>
      </c>
      <c r="U111" s="25">
        <f t="shared" ref="U111:U133" si="203">T111</f>
        <v>69</v>
      </c>
      <c r="V111" s="25">
        <f t="shared" ref="V111:V133" si="204">U111</f>
        <v>69</v>
      </c>
    </row>
    <row r="112" spans="1:22" x14ac:dyDescent="0.25">
      <c r="A112" s="21" t="s">
        <v>124</v>
      </c>
      <c r="B112" s="25">
        <f t="shared" si="199"/>
        <v>65.753424657534254</v>
      </c>
      <c r="C112" s="25">
        <f t="shared" si="199"/>
        <v>60.133529883310068</v>
      </c>
      <c r="D112" s="25">
        <f t="shared" si="199"/>
        <v>56.258644281497645</v>
      </c>
      <c r="E112" s="25">
        <v>59.07</v>
      </c>
      <c r="F112" s="77">
        <f t="shared" si="200"/>
        <v>67.294328018772958</v>
      </c>
      <c r="G112" s="77">
        <f t="shared" si="200"/>
        <v>56.433222251868202</v>
      </c>
      <c r="H112" s="25">
        <f t="shared" ref="H112:S112" si="205">G112</f>
        <v>56.433222251868202</v>
      </c>
      <c r="I112" s="25">
        <f t="shared" si="205"/>
        <v>56.433222251868202</v>
      </c>
      <c r="J112" s="25">
        <f t="shared" si="205"/>
        <v>56.433222251868202</v>
      </c>
      <c r="K112" s="25">
        <f t="shared" si="205"/>
        <v>56.433222251868202</v>
      </c>
      <c r="L112" s="25">
        <f t="shared" si="205"/>
        <v>56.433222251868202</v>
      </c>
      <c r="M112" s="25">
        <f t="shared" si="205"/>
        <v>56.433222251868202</v>
      </c>
      <c r="N112" s="25">
        <f t="shared" si="205"/>
        <v>56.433222251868202</v>
      </c>
      <c r="O112" s="25">
        <f t="shared" si="205"/>
        <v>56.433222251868202</v>
      </c>
      <c r="P112" s="25">
        <f t="shared" si="205"/>
        <v>56.433222251868202</v>
      </c>
      <c r="Q112" s="25">
        <f t="shared" si="205"/>
        <v>56.433222251868202</v>
      </c>
      <c r="R112" s="25">
        <f t="shared" si="205"/>
        <v>56.433222251868202</v>
      </c>
      <c r="S112" s="25">
        <f t="shared" si="205"/>
        <v>56.433222251868202</v>
      </c>
      <c r="T112" s="25">
        <f t="shared" si="202"/>
        <v>56.433222251868202</v>
      </c>
      <c r="U112" s="25">
        <f t="shared" si="203"/>
        <v>56.433222251868202</v>
      </c>
      <c r="V112" s="25">
        <f t="shared" si="204"/>
        <v>56.433222251868202</v>
      </c>
    </row>
    <row r="113" spans="1:22" x14ac:dyDescent="0.25">
      <c r="A113" s="21" t="s">
        <v>125</v>
      </c>
      <c r="B113" s="25">
        <f t="shared" si="199"/>
        <v>86.971728359078995</v>
      </c>
      <c r="C113" s="25">
        <f t="shared" si="199"/>
        <v>87.209709407194438</v>
      </c>
      <c r="D113" s="25">
        <f t="shared" si="199"/>
        <v>86.326142909047391</v>
      </c>
      <c r="E113" s="25">
        <f t="shared" ref="E113:E123" si="206">(B113+C113+D113)/3</f>
        <v>86.835860225106941</v>
      </c>
      <c r="F113" s="77">
        <f t="shared" si="200"/>
        <v>59.091624717103059</v>
      </c>
      <c r="G113" s="77">
        <f t="shared" si="200"/>
        <v>57.069418841650496</v>
      </c>
      <c r="H113" s="25">
        <f t="shared" ref="H113:S113" si="207">G113</f>
        <v>57.069418841650496</v>
      </c>
      <c r="I113" s="25">
        <f t="shared" si="207"/>
        <v>57.069418841650496</v>
      </c>
      <c r="J113" s="25">
        <f t="shared" si="207"/>
        <v>57.069418841650496</v>
      </c>
      <c r="K113" s="25">
        <f t="shared" si="207"/>
        <v>57.069418841650496</v>
      </c>
      <c r="L113" s="25">
        <f t="shared" si="207"/>
        <v>57.069418841650496</v>
      </c>
      <c r="M113" s="25">
        <f t="shared" si="207"/>
        <v>57.069418841650496</v>
      </c>
      <c r="N113" s="25">
        <f t="shared" si="207"/>
        <v>57.069418841650496</v>
      </c>
      <c r="O113" s="25">
        <f t="shared" si="207"/>
        <v>57.069418841650496</v>
      </c>
      <c r="P113" s="25">
        <f t="shared" si="207"/>
        <v>57.069418841650496</v>
      </c>
      <c r="Q113" s="25">
        <f t="shared" si="207"/>
        <v>57.069418841650496</v>
      </c>
      <c r="R113" s="25">
        <f t="shared" si="207"/>
        <v>57.069418841650496</v>
      </c>
      <c r="S113" s="25">
        <f t="shared" si="207"/>
        <v>57.069418841650496</v>
      </c>
      <c r="T113" s="25">
        <f t="shared" si="202"/>
        <v>57.069418841650496</v>
      </c>
      <c r="U113" s="25">
        <f t="shared" si="203"/>
        <v>57.069418841650496</v>
      </c>
      <c r="V113" s="25">
        <f t="shared" si="204"/>
        <v>57.069418841650496</v>
      </c>
    </row>
    <row r="114" spans="1:22" x14ac:dyDescent="0.25">
      <c r="A114" s="21" t="s">
        <v>126</v>
      </c>
      <c r="B114" s="25">
        <f t="shared" si="199"/>
        <v>81.239585362158891</v>
      </c>
      <c r="C114" s="25">
        <f t="shared" si="199"/>
        <v>78.504215734615244</v>
      </c>
      <c r="D114" s="25">
        <f t="shared" si="199"/>
        <v>78.134553512327628</v>
      </c>
      <c r="E114" s="25">
        <f t="shared" si="206"/>
        <v>79.292784869700583</v>
      </c>
      <c r="F114" s="77">
        <f t="shared" si="200"/>
        <v>70.86454276141275</v>
      </c>
      <c r="G114" s="77">
        <f t="shared" si="200"/>
        <v>82.116272016121854</v>
      </c>
      <c r="H114" s="25">
        <f t="shared" ref="H114:S115" si="208">G114</f>
        <v>82.116272016121854</v>
      </c>
      <c r="I114" s="25">
        <f t="shared" si="208"/>
        <v>82.116272016121854</v>
      </c>
      <c r="J114" s="25">
        <f t="shared" si="208"/>
        <v>82.116272016121854</v>
      </c>
      <c r="K114" s="25">
        <f t="shared" si="208"/>
        <v>82.116272016121854</v>
      </c>
      <c r="L114" s="25">
        <f t="shared" si="208"/>
        <v>82.116272016121854</v>
      </c>
      <c r="M114" s="25">
        <f t="shared" si="208"/>
        <v>82.116272016121854</v>
      </c>
      <c r="N114" s="25">
        <f t="shared" si="208"/>
        <v>82.116272016121854</v>
      </c>
      <c r="O114" s="25">
        <f t="shared" si="208"/>
        <v>82.116272016121854</v>
      </c>
      <c r="P114" s="25">
        <f t="shared" si="208"/>
        <v>82.116272016121854</v>
      </c>
      <c r="Q114" s="25">
        <f t="shared" si="208"/>
        <v>82.116272016121854</v>
      </c>
      <c r="R114" s="25">
        <f t="shared" si="208"/>
        <v>82.116272016121854</v>
      </c>
      <c r="S114" s="25">
        <f t="shared" si="208"/>
        <v>82.116272016121854</v>
      </c>
      <c r="T114" s="25">
        <f t="shared" si="202"/>
        <v>82.116272016121854</v>
      </c>
      <c r="U114" s="25">
        <f t="shared" si="203"/>
        <v>82.116272016121854</v>
      </c>
      <c r="V114" s="25">
        <f t="shared" si="204"/>
        <v>82.116272016121854</v>
      </c>
    </row>
    <row r="115" spans="1:22" x14ac:dyDescent="0.25">
      <c r="A115" s="21" t="s">
        <v>314</v>
      </c>
      <c r="B115" s="25"/>
      <c r="C115" s="25"/>
      <c r="D115" s="25"/>
      <c r="E115" s="25"/>
      <c r="F115" s="77">
        <v>0</v>
      </c>
      <c r="G115" s="77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50</v>
      </c>
      <c r="N115" s="25">
        <f t="shared" si="208"/>
        <v>50</v>
      </c>
      <c r="O115" s="25">
        <f t="shared" si="208"/>
        <v>50</v>
      </c>
      <c r="P115" s="25">
        <f t="shared" si="208"/>
        <v>50</v>
      </c>
      <c r="Q115" s="25">
        <f t="shared" si="208"/>
        <v>50</v>
      </c>
      <c r="R115" s="25">
        <f t="shared" si="208"/>
        <v>50</v>
      </c>
      <c r="S115" s="25">
        <f t="shared" si="208"/>
        <v>50</v>
      </c>
      <c r="T115" s="25">
        <f t="shared" si="202"/>
        <v>50</v>
      </c>
      <c r="U115" s="25">
        <f t="shared" si="203"/>
        <v>50</v>
      </c>
      <c r="V115" s="25">
        <f t="shared" si="204"/>
        <v>50</v>
      </c>
    </row>
    <row r="116" spans="1:22" x14ac:dyDescent="0.25">
      <c r="A116" s="21" t="s">
        <v>127</v>
      </c>
      <c r="B116" s="25">
        <f t="shared" ref="B116:D123" si="209">B88/B61*1000/365</f>
        <v>55.608300556083002</v>
      </c>
      <c r="C116" s="25">
        <f t="shared" si="209"/>
        <v>55.885501258254521</v>
      </c>
      <c r="D116" s="25">
        <f t="shared" si="209"/>
        <v>58.09938020022215</v>
      </c>
      <c r="E116" s="25">
        <f t="shared" si="206"/>
        <v>56.531060671519896</v>
      </c>
      <c r="F116" s="77">
        <f t="shared" ref="F116:G123" si="210">F88/F61/365*1000</f>
        <v>44.044076237396943</v>
      </c>
      <c r="G116" s="77">
        <f t="shared" si="210"/>
        <v>47.615665712733843</v>
      </c>
      <c r="H116" s="25">
        <f>G116+7</f>
        <v>54.615665712733843</v>
      </c>
      <c r="I116" s="25">
        <f t="shared" ref="I116:S116" si="211">H116</f>
        <v>54.615665712733843</v>
      </c>
      <c r="J116" s="25">
        <f t="shared" si="211"/>
        <v>54.615665712733843</v>
      </c>
      <c r="K116" s="25">
        <f t="shared" si="211"/>
        <v>54.615665712733843</v>
      </c>
      <c r="L116" s="25">
        <f t="shared" si="211"/>
        <v>54.615665712733843</v>
      </c>
      <c r="M116" s="25">
        <f t="shared" si="211"/>
        <v>54.615665712733843</v>
      </c>
      <c r="N116" s="25">
        <f t="shared" si="211"/>
        <v>54.615665712733843</v>
      </c>
      <c r="O116" s="25">
        <f t="shared" si="211"/>
        <v>54.615665712733843</v>
      </c>
      <c r="P116" s="25">
        <f t="shared" si="211"/>
        <v>54.615665712733843</v>
      </c>
      <c r="Q116" s="25">
        <f t="shared" si="211"/>
        <v>54.615665712733843</v>
      </c>
      <c r="R116" s="25">
        <f t="shared" si="211"/>
        <v>54.615665712733843</v>
      </c>
      <c r="S116" s="25">
        <f t="shared" si="211"/>
        <v>54.615665712733843</v>
      </c>
      <c r="T116" s="25">
        <f t="shared" si="202"/>
        <v>54.615665712733843</v>
      </c>
      <c r="U116" s="25">
        <f t="shared" si="203"/>
        <v>54.615665712733843</v>
      </c>
      <c r="V116" s="25">
        <f t="shared" si="204"/>
        <v>54.615665712733843</v>
      </c>
    </row>
    <row r="117" spans="1:22" x14ac:dyDescent="0.25">
      <c r="A117" s="21" t="s">
        <v>242</v>
      </c>
      <c r="B117" s="25">
        <f t="shared" si="209"/>
        <v>69.039348058814539</v>
      </c>
      <c r="C117" s="25">
        <f t="shared" si="209"/>
        <v>57.367532251374577</v>
      </c>
      <c r="D117" s="25">
        <f t="shared" si="209"/>
        <v>50.805518616644477</v>
      </c>
      <c r="E117" s="25">
        <f t="shared" si="206"/>
        <v>59.070799642277869</v>
      </c>
      <c r="F117" s="77">
        <f t="shared" si="210"/>
        <v>85.45967497953086</v>
      </c>
      <c r="G117" s="77">
        <f t="shared" si="210"/>
        <v>88.335228641147921</v>
      </c>
      <c r="H117" s="25">
        <f t="shared" ref="H117:S117" si="212">G117</f>
        <v>88.335228641147921</v>
      </c>
      <c r="I117" s="25">
        <f t="shared" si="212"/>
        <v>88.335228641147921</v>
      </c>
      <c r="J117" s="25">
        <f t="shared" si="212"/>
        <v>88.335228641147921</v>
      </c>
      <c r="K117" s="25">
        <f t="shared" si="212"/>
        <v>88.335228641147921</v>
      </c>
      <c r="L117" s="25">
        <f t="shared" si="212"/>
        <v>88.335228641147921</v>
      </c>
      <c r="M117" s="25">
        <f t="shared" si="212"/>
        <v>88.335228641147921</v>
      </c>
      <c r="N117" s="25">
        <f t="shared" si="212"/>
        <v>88.335228641147921</v>
      </c>
      <c r="O117" s="25">
        <f t="shared" si="212"/>
        <v>88.335228641147921</v>
      </c>
      <c r="P117" s="25">
        <f t="shared" si="212"/>
        <v>88.335228641147921</v>
      </c>
      <c r="Q117" s="25">
        <f t="shared" si="212"/>
        <v>88.335228641147921</v>
      </c>
      <c r="R117" s="25">
        <f t="shared" si="212"/>
        <v>88.335228641147921</v>
      </c>
      <c r="S117" s="25">
        <f t="shared" si="212"/>
        <v>88.335228641147921</v>
      </c>
      <c r="T117" s="25">
        <f t="shared" si="202"/>
        <v>88.335228641147921</v>
      </c>
      <c r="U117" s="25">
        <f t="shared" si="203"/>
        <v>88.335228641147921</v>
      </c>
      <c r="V117" s="25">
        <f t="shared" si="204"/>
        <v>88.335228641147921</v>
      </c>
    </row>
    <row r="118" spans="1:22" x14ac:dyDescent="0.25">
      <c r="A118" s="21" t="s">
        <v>148</v>
      </c>
      <c r="B118" s="25">
        <f t="shared" si="209"/>
        <v>54.235392787251882</v>
      </c>
      <c r="C118" s="25">
        <f t="shared" si="209"/>
        <v>46.397791827318287</v>
      </c>
      <c r="D118" s="25">
        <f t="shared" si="209"/>
        <v>48.264140746474681</v>
      </c>
      <c r="E118" s="25">
        <f t="shared" si="206"/>
        <v>49.632441787014955</v>
      </c>
      <c r="F118" s="77">
        <f t="shared" si="210"/>
        <v>45.746180118903403</v>
      </c>
      <c r="G118" s="77">
        <f t="shared" si="210"/>
        <v>47.985961787548831</v>
      </c>
      <c r="H118" s="25">
        <f t="shared" ref="H118:S118" si="213">G118</f>
        <v>47.985961787548831</v>
      </c>
      <c r="I118" s="25">
        <f t="shared" si="213"/>
        <v>47.985961787548831</v>
      </c>
      <c r="J118" s="25">
        <f t="shared" si="213"/>
        <v>47.985961787548831</v>
      </c>
      <c r="K118" s="25">
        <f t="shared" si="213"/>
        <v>47.985961787548831</v>
      </c>
      <c r="L118" s="25">
        <f t="shared" si="213"/>
        <v>47.985961787548831</v>
      </c>
      <c r="M118" s="25">
        <f t="shared" si="213"/>
        <v>47.985961787548831</v>
      </c>
      <c r="N118" s="25">
        <f t="shared" si="213"/>
        <v>47.985961787548831</v>
      </c>
      <c r="O118" s="25">
        <f t="shared" si="213"/>
        <v>47.985961787548831</v>
      </c>
      <c r="P118" s="25">
        <f t="shared" si="213"/>
        <v>47.985961787548831</v>
      </c>
      <c r="Q118" s="25">
        <f t="shared" si="213"/>
        <v>47.985961787548831</v>
      </c>
      <c r="R118" s="25">
        <f t="shared" si="213"/>
        <v>47.985961787548831</v>
      </c>
      <c r="S118" s="25">
        <f t="shared" si="213"/>
        <v>47.985961787548831</v>
      </c>
      <c r="T118" s="25">
        <f t="shared" si="202"/>
        <v>47.985961787548831</v>
      </c>
      <c r="U118" s="25">
        <f t="shared" si="203"/>
        <v>47.985961787548831</v>
      </c>
      <c r="V118" s="25">
        <f t="shared" si="204"/>
        <v>47.985961787548831</v>
      </c>
    </row>
    <row r="119" spans="1:22" x14ac:dyDescent="0.25">
      <c r="A119" s="21" t="s">
        <v>130</v>
      </c>
      <c r="B119" s="25">
        <f t="shared" si="209"/>
        <v>34.19082942492512</v>
      </c>
      <c r="C119" s="25">
        <f t="shared" si="209"/>
        <v>35.430479078009931</v>
      </c>
      <c r="D119" s="25">
        <f t="shared" si="209"/>
        <v>33.052532187388344</v>
      </c>
      <c r="E119" s="25">
        <f t="shared" si="206"/>
        <v>34.224613563441132</v>
      </c>
      <c r="F119" s="77">
        <f t="shared" si="210"/>
        <v>49.470550815902108</v>
      </c>
      <c r="G119" s="77">
        <f t="shared" si="210"/>
        <v>55.928373341765294</v>
      </c>
      <c r="H119" s="25">
        <f t="shared" ref="H119:S119" si="214">G119</f>
        <v>55.928373341765294</v>
      </c>
      <c r="I119" s="25">
        <f t="shared" si="214"/>
        <v>55.928373341765294</v>
      </c>
      <c r="J119" s="25">
        <f t="shared" si="214"/>
        <v>55.928373341765294</v>
      </c>
      <c r="K119" s="25">
        <f t="shared" si="214"/>
        <v>55.928373341765294</v>
      </c>
      <c r="L119" s="25">
        <f t="shared" si="214"/>
        <v>55.928373341765294</v>
      </c>
      <c r="M119" s="25">
        <f t="shared" si="214"/>
        <v>55.928373341765294</v>
      </c>
      <c r="N119" s="25">
        <f t="shared" si="214"/>
        <v>55.928373341765294</v>
      </c>
      <c r="O119" s="25">
        <f t="shared" si="214"/>
        <v>55.928373341765294</v>
      </c>
      <c r="P119" s="25">
        <f t="shared" si="214"/>
        <v>55.928373341765294</v>
      </c>
      <c r="Q119" s="25">
        <f t="shared" si="214"/>
        <v>55.928373341765294</v>
      </c>
      <c r="R119" s="25">
        <f t="shared" si="214"/>
        <v>55.928373341765294</v>
      </c>
      <c r="S119" s="25">
        <f t="shared" si="214"/>
        <v>55.928373341765294</v>
      </c>
      <c r="T119" s="25">
        <f t="shared" si="202"/>
        <v>55.928373341765294</v>
      </c>
      <c r="U119" s="25">
        <f t="shared" si="203"/>
        <v>55.928373341765294</v>
      </c>
      <c r="V119" s="25">
        <f t="shared" si="204"/>
        <v>55.928373341765294</v>
      </c>
    </row>
    <row r="120" spans="1:22" x14ac:dyDescent="0.25">
      <c r="A120" s="21" t="s">
        <v>131</v>
      </c>
      <c r="B120" s="25">
        <f t="shared" si="209"/>
        <v>79.36643835616438</v>
      </c>
      <c r="C120" s="25">
        <f t="shared" si="209"/>
        <v>77.904970894644919</v>
      </c>
      <c r="D120" s="25">
        <f t="shared" si="209"/>
        <v>79.113718520856068</v>
      </c>
      <c r="E120" s="25">
        <f t="shared" si="206"/>
        <v>78.795042590555127</v>
      </c>
      <c r="F120" s="77">
        <f t="shared" si="210"/>
        <v>62.051722373820162</v>
      </c>
      <c r="G120" s="77">
        <f t="shared" si="210"/>
        <v>59.065605151650303</v>
      </c>
      <c r="H120" s="25">
        <f t="shared" ref="H120:S120" si="215">G120</f>
        <v>59.065605151650303</v>
      </c>
      <c r="I120" s="25">
        <f t="shared" si="215"/>
        <v>59.065605151650303</v>
      </c>
      <c r="J120" s="25">
        <f t="shared" si="215"/>
        <v>59.065605151650303</v>
      </c>
      <c r="K120" s="25">
        <f t="shared" si="215"/>
        <v>59.065605151650303</v>
      </c>
      <c r="L120" s="25">
        <f t="shared" si="215"/>
        <v>59.065605151650303</v>
      </c>
      <c r="M120" s="25">
        <f t="shared" si="215"/>
        <v>59.065605151650303</v>
      </c>
      <c r="N120" s="25">
        <f t="shared" si="215"/>
        <v>59.065605151650303</v>
      </c>
      <c r="O120" s="25">
        <f t="shared" si="215"/>
        <v>59.065605151650303</v>
      </c>
      <c r="P120" s="25">
        <f t="shared" si="215"/>
        <v>59.065605151650303</v>
      </c>
      <c r="Q120" s="25">
        <f t="shared" si="215"/>
        <v>59.065605151650303</v>
      </c>
      <c r="R120" s="25">
        <f t="shared" si="215"/>
        <v>59.065605151650303</v>
      </c>
      <c r="S120" s="25">
        <f t="shared" si="215"/>
        <v>59.065605151650303</v>
      </c>
      <c r="T120" s="25">
        <f t="shared" si="202"/>
        <v>59.065605151650303</v>
      </c>
      <c r="U120" s="25">
        <f t="shared" si="203"/>
        <v>59.065605151650303</v>
      </c>
      <c r="V120" s="25">
        <f t="shared" si="204"/>
        <v>59.065605151650303</v>
      </c>
    </row>
    <row r="121" spans="1:22" x14ac:dyDescent="0.25">
      <c r="A121" s="21" t="s">
        <v>149</v>
      </c>
      <c r="B121" s="25">
        <f t="shared" si="209"/>
        <v>62.232003946419766</v>
      </c>
      <c r="C121" s="25">
        <f t="shared" si="209"/>
        <v>59.476427768955467</v>
      </c>
      <c r="D121" s="25">
        <f t="shared" si="209"/>
        <v>58.827442608746239</v>
      </c>
      <c r="E121" s="25">
        <f t="shared" si="206"/>
        <v>60.178624774707167</v>
      </c>
      <c r="F121" s="77">
        <f t="shared" si="210"/>
        <v>50.026516858295011</v>
      </c>
      <c r="G121" s="77">
        <f t="shared" si="210"/>
        <v>51.601656159138656</v>
      </c>
      <c r="H121" s="25">
        <f t="shared" ref="H121:S121" si="216">G121</f>
        <v>51.601656159138656</v>
      </c>
      <c r="I121" s="25">
        <f t="shared" si="216"/>
        <v>51.601656159138656</v>
      </c>
      <c r="J121" s="25">
        <f t="shared" si="216"/>
        <v>51.601656159138656</v>
      </c>
      <c r="K121" s="25">
        <f t="shared" si="216"/>
        <v>51.601656159138656</v>
      </c>
      <c r="L121" s="25">
        <f t="shared" si="216"/>
        <v>51.601656159138656</v>
      </c>
      <c r="M121" s="25">
        <f t="shared" si="216"/>
        <v>51.601656159138656</v>
      </c>
      <c r="N121" s="25">
        <f t="shared" si="216"/>
        <v>51.601656159138656</v>
      </c>
      <c r="O121" s="25">
        <f t="shared" si="216"/>
        <v>51.601656159138656</v>
      </c>
      <c r="P121" s="25">
        <f t="shared" si="216"/>
        <v>51.601656159138656</v>
      </c>
      <c r="Q121" s="25">
        <f t="shared" si="216"/>
        <v>51.601656159138656</v>
      </c>
      <c r="R121" s="25">
        <f t="shared" si="216"/>
        <v>51.601656159138656</v>
      </c>
      <c r="S121" s="25">
        <f t="shared" si="216"/>
        <v>51.601656159138656</v>
      </c>
      <c r="T121" s="25">
        <f t="shared" si="202"/>
        <v>51.601656159138656</v>
      </c>
      <c r="U121" s="25">
        <f t="shared" si="203"/>
        <v>51.601656159138656</v>
      </c>
      <c r="V121" s="25">
        <f t="shared" si="204"/>
        <v>51.601656159138656</v>
      </c>
    </row>
    <row r="122" spans="1:22" x14ac:dyDescent="0.25">
      <c r="A122" s="21" t="s">
        <v>133</v>
      </c>
      <c r="B122" s="25">
        <f t="shared" si="209"/>
        <v>57.969747948118531</v>
      </c>
      <c r="C122" s="25">
        <f t="shared" si="209"/>
        <v>57.36753225137457</v>
      </c>
      <c r="D122" s="25">
        <f t="shared" si="209"/>
        <v>66.255150008840445</v>
      </c>
      <c r="E122" s="25">
        <f t="shared" si="206"/>
        <v>60.53081006944452</v>
      </c>
      <c r="F122" s="77">
        <f t="shared" si="210"/>
        <v>42.635822592073126</v>
      </c>
      <c r="G122" s="77">
        <f t="shared" si="210"/>
        <v>46.168917773825314</v>
      </c>
      <c r="H122" s="25">
        <f t="shared" ref="H122:S122" si="217">G122</f>
        <v>46.168917773825314</v>
      </c>
      <c r="I122" s="25">
        <f t="shared" si="217"/>
        <v>46.168917773825314</v>
      </c>
      <c r="J122" s="25">
        <f t="shared" si="217"/>
        <v>46.168917773825314</v>
      </c>
      <c r="K122" s="25">
        <f t="shared" si="217"/>
        <v>46.168917773825314</v>
      </c>
      <c r="L122" s="25">
        <f t="shared" si="217"/>
        <v>46.168917773825314</v>
      </c>
      <c r="M122" s="25">
        <f t="shared" si="217"/>
        <v>46.168917773825314</v>
      </c>
      <c r="N122" s="25">
        <f t="shared" si="217"/>
        <v>46.168917773825314</v>
      </c>
      <c r="O122" s="25">
        <f t="shared" si="217"/>
        <v>46.168917773825314</v>
      </c>
      <c r="P122" s="25">
        <f t="shared" si="217"/>
        <v>46.168917773825314</v>
      </c>
      <c r="Q122" s="25">
        <f t="shared" si="217"/>
        <v>46.168917773825314</v>
      </c>
      <c r="R122" s="25">
        <f t="shared" si="217"/>
        <v>46.168917773825314</v>
      </c>
      <c r="S122" s="25">
        <f t="shared" si="217"/>
        <v>46.168917773825314</v>
      </c>
      <c r="T122" s="25">
        <f t="shared" si="202"/>
        <v>46.168917773825314</v>
      </c>
      <c r="U122" s="25">
        <f t="shared" si="203"/>
        <v>46.168917773825314</v>
      </c>
      <c r="V122" s="25">
        <f t="shared" si="204"/>
        <v>46.168917773825314</v>
      </c>
    </row>
    <row r="123" spans="1:22" x14ac:dyDescent="0.25">
      <c r="A123" s="21" t="s">
        <v>134</v>
      </c>
      <c r="B123" s="25">
        <f t="shared" si="209"/>
        <v>29.299847792998481</v>
      </c>
      <c r="C123" s="25">
        <f t="shared" si="209"/>
        <v>31.511691273206971</v>
      </c>
      <c r="D123" s="25">
        <f t="shared" si="209"/>
        <v>27.943035239154458</v>
      </c>
      <c r="E123" s="25">
        <f t="shared" si="206"/>
        <v>29.584858101786637</v>
      </c>
      <c r="F123" s="77">
        <f t="shared" si="210"/>
        <v>60.979078592089806</v>
      </c>
      <c r="G123" s="77">
        <f t="shared" si="210"/>
        <v>55.777121911416067</v>
      </c>
      <c r="H123" s="25">
        <f t="shared" ref="H123:S124" si="218">G123</f>
        <v>55.777121911416067</v>
      </c>
      <c r="I123" s="25">
        <f t="shared" si="218"/>
        <v>55.777121911416067</v>
      </c>
      <c r="J123" s="25">
        <f t="shared" si="218"/>
        <v>55.777121911416067</v>
      </c>
      <c r="K123" s="25">
        <f t="shared" si="218"/>
        <v>55.777121911416067</v>
      </c>
      <c r="L123" s="25">
        <f t="shared" si="218"/>
        <v>55.777121911416067</v>
      </c>
      <c r="M123" s="25">
        <f t="shared" si="218"/>
        <v>55.777121911416067</v>
      </c>
      <c r="N123" s="25">
        <f t="shared" si="218"/>
        <v>55.777121911416067</v>
      </c>
      <c r="O123" s="25">
        <f t="shared" si="218"/>
        <v>55.777121911416067</v>
      </c>
      <c r="P123" s="25">
        <f t="shared" si="218"/>
        <v>55.777121911416067</v>
      </c>
      <c r="Q123" s="25">
        <f t="shared" si="218"/>
        <v>55.777121911416067</v>
      </c>
      <c r="R123" s="25">
        <f t="shared" si="218"/>
        <v>55.777121911416067</v>
      </c>
      <c r="S123" s="25">
        <f t="shared" si="218"/>
        <v>55.777121911416067</v>
      </c>
      <c r="T123" s="25">
        <f t="shared" si="202"/>
        <v>55.777121911416067</v>
      </c>
      <c r="U123" s="25">
        <f t="shared" si="203"/>
        <v>55.777121911416067</v>
      </c>
      <c r="V123" s="25">
        <f t="shared" si="204"/>
        <v>55.777121911416067</v>
      </c>
    </row>
    <row r="124" spans="1:22" x14ac:dyDescent="0.25">
      <c r="A124" s="21" t="s">
        <v>136</v>
      </c>
      <c r="B124" s="25">
        <f t="shared" ref="B124:C125" si="219">C124</f>
        <v>77.359241592682963</v>
      </c>
      <c r="C124" s="25">
        <f t="shared" si="219"/>
        <v>77.359241592682963</v>
      </c>
      <c r="D124" s="25">
        <f>E124</f>
        <v>77.359241592682963</v>
      </c>
      <c r="E124" s="25">
        <f>E96/E69*1000/365</f>
        <v>77.359241592682963</v>
      </c>
      <c r="F124" s="77">
        <f>F96/F69*1000/365</f>
        <v>69.847754235021128</v>
      </c>
      <c r="G124" s="77">
        <f t="shared" ref="G124:G133" si="220">G96/G69/365*1000</f>
        <v>66.075745366639808</v>
      </c>
      <c r="H124" s="25">
        <f t="shared" si="218"/>
        <v>66.075745366639808</v>
      </c>
      <c r="I124" s="25">
        <f t="shared" ref="I124" si="221">H124</f>
        <v>66.075745366639808</v>
      </c>
      <c r="J124" s="25">
        <f t="shared" ref="J124" si="222">I124</f>
        <v>66.075745366639808</v>
      </c>
      <c r="K124" s="25">
        <f t="shared" ref="K124" si="223">J124</f>
        <v>66.075745366639808</v>
      </c>
      <c r="L124" s="25">
        <f t="shared" ref="L124" si="224">K124</f>
        <v>66.075745366639808</v>
      </c>
      <c r="M124" s="25">
        <f t="shared" ref="M124" si="225">L124</f>
        <v>66.075745366639808</v>
      </c>
      <c r="N124" s="25">
        <f t="shared" ref="N124" si="226">M124</f>
        <v>66.075745366639808</v>
      </c>
      <c r="O124" s="25">
        <f t="shared" ref="O124" si="227">N124</f>
        <v>66.075745366639808</v>
      </c>
      <c r="P124" s="25">
        <f t="shared" ref="P124" si="228">O124</f>
        <v>66.075745366639808</v>
      </c>
      <c r="Q124" s="25">
        <f t="shared" ref="Q124" si="229">P124</f>
        <v>66.075745366639808</v>
      </c>
      <c r="R124" s="25">
        <f t="shared" ref="R124" si="230">Q124</f>
        <v>66.075745366639808</v>
      </c>
      <c r="S124" s="25">
        <f t="shared" ref="S124" si="231">R124</f>
        <v>66.075745366639808</v>
      </c>
      <c r="T124" s="25">
        <f t="shared" si="202"/>
        <v>66.075745366639808</v>
      </c>
      <c r="U124" s="25">
        <f t="shared" si="203"/>
        <v>66.075745366639808</v>
      </c>
      <c r="V124" s="25">
        <f t="shared" si="204"/>
        <v>66.075745366639808</v>
      </c>
    </row>
    <row r="125" spans="1:22" x14ac:dyDescent="0.25">
      <c r="A125" s="21" t="s">
        <v>137</v>
      </c>
      <c r="B125" s="25">
        <f t="shared" si="219"/>
        <v>85</v>
      </c>
      <c r="C125" s="25">
        <f t="shared" si="219"/>
        <v>85</v>
      </c>
      <c r="D125" s="25">
        <v>85</v>
      </c>
      <c r="E125" s="25">
        <f>E97/E70*1000/365</f>
        <v>85.411581069217505</v>
      </c>
      <c r="F125" s="77">
        <f>F97/F70*1000/365</f>
        <v>57.319120206281283</v>
      </c>
      <c r="G125" s="77">
        <f t="shared" si="220"/>
        <v>58.083943536366327</v>
      </c>
      <c r="H125" s="25">
        <f t="shared" ref="H125:S125" si="232">G125</f>
        <v>58.083943536366327</v>
      </c>
      <c r="I125" s="25">
        <f t="shared" si="232"/>
        <v>58.083943536366327</v>
      </c>
      <c r="J125" s="25">
        <f t="shared" si="232"/>
        <v>58.083943536366327</v>
      </c>
      <c r="K125" s="25">
        <f t="shared" si="232"/>
        <v>58.083943536366327</v>
      </c>
      <c r="L125" s="25">
        <f t="shared" si="232"/>
        <v>58.083943536366327</v>
      </c>
      <c r="M125" s="25">
        <f t="shared" si="232"/>
        <v>58.083943536366327</v>
      </c>
      <c r="N125" s="25">
        <f t="shared" si="232"/>
        <v>58.083943536366327</v>
      </c>
      <c r="O125" s="25">
        <f t="shared" si="232"/>
        <v>58.083943536366327</v>
      </c>
      <c r="P125" s="25">
        <f t="shared" si="232"/>
        <v>58.083943536366327</v>
      </c>
      <c r="Q125" s="25">
        <f t="shared" si="232"/>
        <v>58.083943536366327</v>
      </c>
      <c r="R125" s="25">
        <f t="shared" si="232"/>
        <v>58.083943536366327</v>
      </c>
      <c r="S125" s="25">
        <f t="shared" si="232"/>
        <v>58.083943536366327</v>
      </c>
      <c r="T125" s="25">
        <f t="shared" si="202"/>
        <v>58.083943536366327</v>
      </c>
      <c r="U125" s="25">
        <f t="shared" si="203"/>
        <v>58.083943536366327</v>
      </c>
      <c r="V125" s="25">
        <f t="shared" si="204"/>
        <v>58.083943536366327</v>
      </c>
    </row>
    <row r="126" spans="1:22" x14ac:dyDescent="0.25">
      <c r="A126" s="21" t="s">
        <v>251</v>
      </c>
      <c r="B126" s="25"/>
      <c r="C126" s="25"/>
      <c r="D126" s="25"/>
      <c r="E126" s="25"/>
      <c r="F126" s="77">
        <f>F98/F71*1000/365</f>
        <v>53.823245877324702</v>
      </c>
      <c r="G126" s="77">
        <f t="shared" si="220"/>
        <v>50.428349473553354</v>
      </c>
      <c r="H126" s="25">
        <f t="shared" ref="H126:H129" si="233">G126</f>
        <v>50.428349473553354</v>
      </c>
      <c r="I126" s="25">
        <f t="shared" ref="I126:I129" si="234">H126</f>
        <v>50.428349473553354</v>
      </c>
      <c r="J126" s="25">
        <f t="shared" ref="J126:J129" si="235">I126</f>
        <v>50.428349473553354</v>
      </c>
      <c r="K126" s="25">
        <f t="shared" ref="K126:K129" si="236">J126</f>
        <v>50.428349473553354</v>
      </c>
      <c r="L126" s="25">
        <f t="shared" ref="L126:L129" si="237">K126</f>
        <v>50.428349473553354</v>
      </c>
      <c r="M126" s="25">
        <f t="shared" ref="M126:M129" si="238">L126</f>
        <v>50.428349473553354</v>
      </c>
      <c r="N126" s="25">
        <f t="shared" ref="N126:N129" si="239">M126</f>
        <v>50.428349473553354</v>
      </c>
      <c r="O126" s="25">
        <f t="shared" ref="O126:O129" si="240">N126</f>
        <v>50.428349473553354</v>
      </c>
      <c r="P126" s="25">
        <f t="shared" ref="P126:P129" si="241">O126</f>
        <v>50.428349473553354</v>
      </c>
      <c r="Q126" s="25">
        <f t="shared" ref="Q126:Q129" si="242">P126</f>
        <v>50.428349473553354</v>
      </c>
      <c r="R126" s="25">
        <f t="shared" ref="R126:R129" si="243">Q126</f>
        <v>50.428349473553354</v>
      </c>
      <c r="S126" s="25">
        <f t="shared" ref="S126:S129" si="244">R126</f>
        <v>50.428349473553354</v>
      </c>
      <c r="T126" s="25">
        <f t="shared" si="202"/>
        <v>50.428349473553354</v>
      </c>
      <c r="U126" s="25">
        <f t="shared" si="203"/>
        <v>50.428349473553354</v>
      </c>
      <c r="V126" s="25">
        <f t="shared" si="204"/>
        <v>50.428349473553354</v>
      </c>
    </row>
    <row r="127" spans="1:22" x14ac:dyDescent="0.25">
      <c r="A127" s="21" t="s">
        <v>252</v>
      </c>
      <c r="B127" s="25"/>
      <c r="C127" s="25"/>
      <c r="D127" s="25"/>
      <c r="E127" s="25"/>
      <c r="F127" s="77">
        <f>F99/F72*1000/365</f>
        <v>72.094845612701889</v>
      </c>
      <c r="G127" s="77">
        <f t="shared" si="220"/>
        <v>70.90229082651463</v>
      </c>
      <c r="H127" s="25">
        <v>71</v>
      </c>
      <c r="I127" s="25">
        <f t="shared" si="234"/>
        <v>71</v>
      </c>
      <c r="J127" s="25">
        <f t="shared" si="235"/>
        <v>71</v>
      </c>
      <c r="K127" s="25">
        <f t="shared" si="236"/>
        <v>71</v>
      </c>
      <c r="L127" s="25">
        <f t="shared" si="237"/>
        <v>71</v>
      </c>
      <c r="M127" s="25">
        <f t="shared" si="238"/>
        <v>71</v>
      </c>
      <c r="N127" s="25">
        <f t="shared" si="239"/>
        <v>71</v>
      </c>
      <c r="O127" s="25">
        <f t="shared" si="240"/>
        <v>71</v>
      </c>
      <c r="P127" s="25">
        <f t="shared" si="241"/>
        <v>71</v>
      </c>
      <c r="Q127" s="25">
        <f t="shared" si="242"/>
        <v>71</v>
      </c>
      <c r="R127" s="25">
        <f t="shared" si="243"/>
        <v>71</v>
      </c>
      <c r="S127" s="25">
        <f t="shared" si="244"/>
        <v>71</v>
      </c>
      <c r="T127" s="25">
        <f t="shared" si="202"/>
        <v>71</v>
      </c>
      <c r="U127" s="25">
        <f t="shared" si="203"/>
        <v>71</v>
      </c>
      <c r="V127" s="25">
        <f t="shared" si="204"/>
        <v>71</v>
      </c>
    </row>
    <row r="128" spans="1:22" x14ac:dyDescent="0.25">
      <c r="A128" s="21" t="s">
        <v>249</v>
      </c>
      <c r="B128" s="25"/>
      <c r="C128" s="25"/>
      <c r="D128" s="25"/>
      <c r="E128" s="25"/>
      <c r="F128" s="77">
        <f>G128</f>
        <v>73.908180870598997</v>
      </c>
      <c r="G128" s="77">
        <f t="shared" si="220"/>
        <v>73.908180870598997</v>
      </c>
      <c r="H128" s="25">
        <f t="shared" si="233"/>
        <v>73.908180870598997</v>
      </c>
      <c r="I128" s="25">
        <f t="shared" si="234"/>
        <v>73.908180870598997</v>
      </c>
      <c r="J128" s="25">
        <f t="shared" si="235"/>
        <v>73.908180870598997</v>
      </c>
      <c r="K128" s="25">
        <f t="shared" si="236"/>
        <v>73.908180870598997</v>
      </c>
      <c r="L128" s="25">
        <f t="shared" si="237"/>
        <v>73.908180870598997</v>
      </c>
      <c r="M128" s="25">
        <f t="shared" si="238"/>
        <v>73.908180870598997</v>
      </c>
      <c r="N128" s="25">
        <f t="shared" si="239"/>
        <v>73.908180870598997</v>
      </c>
      <c r="O128" s="25">
        <f t="shared" si="240"/>
        <v>73.908180870598997</v>
      </c>
      <c r="P128" s="25">
        <f t="shared" si="241"/>
        <v>73.908180870598997</v>
      </c>
      <c r="Q128" s="25">
        <f t="shared" si="242"/>
        <v>73.908180870598997</v>
      </c>
      <c r="R128" s="25">
        <f t="shared" si="243"/>
        <v>73.908180870598997</v>
      </c>
      <c r="S128" s="25">
        <f t="shared" si="244"/>
        <v>73.908180870598997</v>
      </c>
      <c r="T128" s="25">
        <f t="shared" si="202"/>
        <v>73.908180870598997</v>
      </c>
      <c r="U128" s="25">
        <f t="shared" si="203"/>
        <v>73.908180870598997</v>
      </c>
      <c r="V128" s="25">
        <f t="shared" si="204"/>
        <v>73.908180870598997</v>
      </c>
    </row>
    <row r="129" spans="1:22" x14ac:dyDescent="0.25">
      <c r="A129" s="21" t="s">
        <v>250</v>
      </c>
      <c r="B129" s="25"/>
      <c r="C129" s="25"/>
      <c r="D129" s="25"/>
      <c r="E129" s="25"/>
      <c r="F129" s="77">
        <f>F101/F74*1000/365</f>
        <v>50.5081906351</v>
      </c>
      <c r="G129" s="77">
        <f t="shared" si="220"/>
        <v>49.18240188053791</v>
      </c>
      <c r="H129" s="25">
        <f t="shared" si="233"/>
        <v>49.18240188053791</v>
      </c>
      <c r="I129" s="25">
        <f t="shared" si="234"/>
        <v>49.18240188053791</v>
      </c>
      <c r="J129" s="25">
        <f t="shared" si="235"/>
        <v>49.18240188053791</v>
      </c>
      <c r="K129" s="25">
        <f t="shared" si="236"/>
        <v>49.18240188053791</v>
      </c>
      <c r="L129" s="25">
        <f t="shared" si="237"/>
        <v>49.18240188053791</v>
      </c>
      <c r="M129" s="25">
        <f t="shared" si="238"/>
        <v>49.18240188053791</v>
      </c>
      <c r="N129" s="25">
        <f t="shared" si="239"/>
        <v>49.18240188053791</v>
      </c>
      <c r="O129" s="25">
        <f t="shared" si="240"/>
        <v>49.18240188053791</v>
      </c>
      <c r="P129" s="25">
        <f t="shared" si="241"/>
        <v>49.18240188053791</v>
      </c>
      <c r="Q129" s="25">
        <f t="shared" si="242"/>
        <v>49.18240188053791</v>
      </c>
      <c r="R129" s="25">
        <f t="shared" si="243"/>
        <v>49.18240188053791</v>
      </c>
      <c r="S129" s="25">
        <f t="shared" si="244"/>
        <v>49.18240188053791</v>
      </c>
      <c r="T129" s="25">
        <f t="shared" si="202"/>
        <v>49.18240188053791</v>
      </c>
      <c r="U129" s="25">
        <f t="shared" si="203"/>
        <v>49.18240188053791</v>
      </c>
      <c r="V129" s="25">
        <f t="shared" si="204"/>
        <v>49.18240188053791</v>
      </c>
    </row>
    <row r="130" spans="1:22" x14ac:dyDescent="0.25">
      <c r="A130" s="21" t="s">
        <v>150</v>
      </c>
      <c r="B130" s="25">
        <f t="shared" ref="B130:C130" si="245">C130</f>
        <v>97.074565569483127</v>
      </c>
      <c r="C130" s="25">
        <f t="shared" si="245"/>
        <v>97.074565569483127</v>
      </c>
      <c r="D130" s="25">
        <f>E130</f>
        <v>97.074565569483127</v>
      </c>
      <c r="E130" s="25">
        <f>E102/E75*1000/365</f>
        <v>97.074565569483127</v>
      </c>
      <c r="F130" s="77">
        <f>G130</f>
        <v>67.722602739726028</v>
      </c>
      <c r="G130" s="77">
        <f t="shared" si="220"/>
        <v>67.722602739726028</v>
      </c>
      <c r="H130" s="25">
        <f t="shared" ref="H130:S130" si="246">G130</f>
        <v>67.722602739726028</v>
      </c>
      <c r="I130" s="25">
        <f t="shared" si="246"/>
        <v>67.722602739726028</v>
      </c>
      <c r="J130" s="25">
        <f t="shared" si="246"/>
        <v>67.722602739726028</v>
      </c>
      <c r="K130" s="25">
        <f t="shared" si="246"/>
        <v>67.722602739726028</v>
      </c>
      <c r="L130" s="25">
        <f t="shared" si="246"/>
        <v>67.722602739726028</v>
      </c>
      <c r="M130" s="25">
        <f t="shared" si="246"/>
        <v>67.722602739726028</v>
      </c>
      <c r="N130" s="25">
        <f t="shared" si="246"/>
        <v>67.722602739726028</v>
      </c>
      <c r="O130" s="25">
        <f t="shared" si="246"/>
        <v>67.722602739726028</v>
      </c>
      <c r="P130" s="25">
        <f t="shared" si="246"/>
        <v>67.722602739726028</v>
      </c>
      <c r="Q130" s="25">
        <f t="shared" si="246"/>
        <v>67.722602739726028</v>
      </c>
      <c r="R130" s="25">
        <f t="shared" si="246"/>
        <v>67.722602739726028</v>
      </c>
      <c r="S130" s="25">
        <f t="shared" si="246"/>
        <v>67.722602739726028</v>
      </c>
      <c r="T130" s="25">
        <f t="shared" si="202"/>
        <v>67.722602739726028</v>
      </c>
      <c r="U130" s="25">
        <f t="shared" si="203"/>
        <v>67.722602739726028</v>
      </c>
      <c r="V130" s="25">
        <f t="shared" si="204"/>
        <v>67.722602739726028</v>
      </c>
    </row>
    <row r="131" spans="1:22" x14ac:dyDescent="0.25">
      <c r="A131" s="21" t="s">
        <v>151</v>
      </c>
      <c r="B131" s="25">
        <f t="shared" ref="B131:D131" si="247">C131</f>
        <v>80.170415867242767</v>
      </c>
      <c r="C131" s="25">
        <f t="shared" si="247"/>
        <v>80.170415867242767</v>
      </c>
      <c r="D131" s="25">
        <f t="shared" si="247"/>
        <v>80.170415867242767</v>
      </c>
      <c r="E131" s="25">
        <f>E103/E76*1000/365</f>
        <v>80.170415867242767</v>
      </c>
      <c r="F131" s="77">
        <f>F103/F76/365*1000</f>
        <v>42.321557317952418</v>
      </c>
      <c r="G131" s="77">
        <f t="shared" si="220"/>
        <v>49.782826595389245</v>
      </c>
      <c r="H131" s="25">
        <f t="shared" ref="H131:S131" si="248">G131</f>
        <v>49.782826595389245</v>
      </c>
      <c r="I131" s="25">
        <f t="shared" si="248"/>
        <v>49.782826595389245</v>
      </c>
      <c r="J131" s="25">
        <f t="shared" si="248"/>
        <v>49.782826595389245</v>
      </c>
      <c r="K131" s="25">
        <f t="shared" si="248"/>
        <v>49.782826595389245</v>
      </c>
      <c r="L131" s="25">
        <f t="shared" si="248"/>
        <v>49.782826595389245</v>
      </c>
      <c r="M131" s="25">
        <f t="shared" si="248"/>
        <v>49.782826595389245</v>
      </c>
      <c r="N131" s="25">
        <f t="shared" si="248"/>
        <v>49.782826595389245</v>
      </c>
      <c r="O131" s="25">
        <f t="shared" si="248"/>
        <v>49.782826595389245</v>
      </c>
      <c r="P131" s="25">
        <f t="shared" si="248"/>
        <v>49.782826595389245</v>
      </c>
      <c r="Q131" s="25">
        <f t="shared" si="248"/>
        <v>49.782826595389245</v>
      </c>
      <c r="R131" s="25">
        <f t="shared" si="248"/>
        <v>49.782826595389245</v>
      </c>
      <c r="S131" s="25">
        <f t="shared" si="248"/>
        <v>49.782826595389245</v>
      </c>
      <c r="T131" s="25">
        <f t="shared" si="202"/>
        <v>49.782826595389245</v>
      </c>
      <c r="U131" s="25">
        <f t="shared" si="203"/>
        <v>49.782826595389245</v>
      </c>
      <c r="V131" s="25">
        <f t="shared" si="204"/>
        <v>49.782826595389245</v>
      </c>
    </row>
    <row r="132" spans="1:22" x14ac:dyDescent="0.25">
      <c r="A132" s="21" t="s">
        <v>140</v>
      </c>
      <c r="B132" s="25">
        <f t="shared" ref="B132:D132" si="249">C132</f>
        <v>50.952753195625419</v>
      </c>
      <c r="C132" s="25">
        <f t="shared" si="249"/>
        <v>50.952753195625419</v>
      </c>
      <c r="D132" s="25">
        <f t="shared" si="249"/>
        <v>50.952753195625419</v>
      </c>
      <c r="E132" s="25">
        <f>E104/E77*1000/365</f>
        <v>50.952753195625419</v>
      </c>
      <c r="F132" s="77">
        <f t="shared" ref="F132:S132" si="250">E132</f>
        <v>50.952753195625419</v>
      </c>
      <c r="G132" s="77">
        <f t="shared" si="220"/>
        <v>38.251538124563943</v>
      </c>
      <c r="H132" s="25">
        <f t="shared" si="250"/>
        <v>38.251538124563943</v>
      </c>
      <c r="I132" s="25">
        <f t="shared" si="250"/>
        <v>38.251538124563943</v>
      </c>
      <c r="J132" s="25">
        <f t="shared" si="250"/>
        <v>38.251538124563943</v>
      </c>
      <c r="K132" s="25">
        <f t="shared" si="250"/>
        <v>38.251538124563943</v>
      </c>
      <c r="L132" s="25">
        <f t="shared" si="250"/>
        <v>38.251538124563943</v>
      </c>
      <c r="M132" s="25">
        <f t="shared" si="250"/>
        <v>38.251538124563943</v>
      </c>
      <c r="N132" s="25">
        <f t="shared" si="250"/>
        <v>38.251538124563943</v>
      </c>
      <c r="O132" s="25">
        <f t="shared" si="250"/>
        <v>38.251538124563943</v>
      </c>
      <c r="P132" s="25">
        <f t="shared" si="250"/>
        <v>38.251538124563943</v>
      </c>
      <c r="Q132" s="25">
        <f t="shared" si="250"/>
        <v>38.251538124563943</v>
      </c>
      <c r="R132" s="25">
        <f t="shared" si="250"/>
        <v>38.251538124563943</v>
      </c>
      <c r="S132" s="25">
        <f t="shared" si="250"/>
        <v>38.251538124563943</v>
      </c>
      <c r="T132" s="25">
        <f t="shared" si="202"/>
        <v>38.251538124563943</v>
      </c>
      <c r="U132" s="25">
        <f t="shared" si="203"/>
        <v>38.251538124563943</v>
      </c>
      <c r="V132" s="25">
        <f t="shared" si="204"/>
        <v>38.251538124563943</v>
      </c>
    </row>
    <row r="133" spans="1:22" x14ac:dyDescent="0.25">
      <c r="A133" s="21" t="s">
        <v>141</v>
      </c>
      <c r="B133" s="25">
        <f t="shared" ref="B133:D133" si="251">C133</f>
        <v>67.937004260833888</v>
      </c>
      <c r="C133" s="25">
        <f t="shared" si="251"/>
        <v>67.937004260833888</v>
      </c>
      <c r="D133" s="25">
        <f t="shared" si="251"/>
        <v>67.937004260833888</v>
      </c>
      <c r="E133" s="25">
        <f>E105/E78*1000/365</f>
        <v>67.937004260833888</v>
      </c>
      <c r="F133" s="77">
        <f t="shared" ref="F133:S133" si="252">E133</f>
        <v>67.937004260833888</v>
      </c>
      <c r="G133" s="77">
        <f t="shared" si="220"/>
        <v>78.950271109459209</v>
      </c>
      <c r="H133" s="25">
        <f t="shared" si="252"/>
        <v>78.950271109459209</v>
      </c>
      <c r="I133" s="25">
        <f t="shared" si="252"/>
        <v>78.950271109459209</v>
      </c>
      <c r="J133" s="25">
        <f t="shared" si="252"/>
        <v>78.950271109459209</v>
      </c>
      <c r="K133" s="25">
        <f t="shared" si="252"/>
        <v>78.950271109459209</v>
      </c>
      <c r="L133" s="25">
        <f t="shared" si="252"/>
        <v>78.950271109459209</v>
      </c>
      <c r="M133" s="25">
        <f t="shared" si="252"/>
        <v>78.950271109459209</v>
      </c>
      <c r="N133" s="25">
        <f t="shared" si="252"/>
        <v>78.950271109459209</v>
      </c>
      <c r="O133" s="25">
        <f t="shared" si="252"/>
        <v>78.950271109459209</v>
      </c>
      <c r="P133" s="25">
        <f t="shared" si="252"/>
        <v>78.950271109459209</v>
      </c>
      <c r="Q133" s="25">
        <f t="shared" si="252"/>
        <v>78.950271109459209</v>
      </c>
      <c r="R133" s="25">
        <f t="shared" si="252"/>
        <v>78.950271109459209</v>
      </c>
      <c r="S133" s="25">
        <f t="shared" si="252"/>
        <v>78.950271109459209</v>
      </c>
      <c r="T133" s="25">
        <f t="shared" si="202"/>
        <v>78.950271109459209</v>
      </c>
      <c r="U133" s="25">
        <f t="shared" si="203"/>
        <v>78.950271109459209</v>
      </c>
      <c r="V133" s="25">
        <f t="shared" si="204"/>
        <v>78.950271109459209</v>
      </c>
    </row>
    <row r="135" spans="1:22" x14ac:dyDescent="0.25">
      <c r="A135" s="27" t="s">
        <v>154</v>
      </c>
    </row>
    <row r="136" spans="1:22" x14ac:dyDescent="0.25">
      <c r="A136" s="26" t="s">
        <v>143</v>
      </c>
      <c r="B136" s="26">
        <v>2012</v>
      </c>
      <c r="C136" s="26">
        <f>B136+1</f>
        <v>2013</v>
      </c>
      <c r="D136" s="26">
        <f t="shared" ref="D136" si="253">C136+1</f>
        <v>2014</v>
      </c>
      <c r="E136" s="26">
        <f t="shared" ref="E136" si="254">D136+1</f>
        <v>2015</v>
      </c>
      <c r="F136" s="26">
        <f t="shared" ref="F136" si="255">E136+1</f>
        <v>2016</v>
      </c>
      <c r="G136" s="26">
        <f t="shared" ref="G136" si="256">F136+1</f>
        <v>2017</v>
      </c>
      <c r="H136" s="26">
        <f t="shared" ref="H136" si="257">G136+1</f>
        <v>2018</v>
      </c>
      <c r="I136" s="26">
        <f t="shared" ref="I136" si="258">H136+1</f>
        <v>2019</v>
      </c>
      <c r="J136" s="26">
        <f t="shared" ref="J136" si="259">I136+1</f>
        <v>2020</v>
      </c>
      <c r="K136" s="26">
        <f t="shared" ref="K136" si="260">J136+1</f>
        <v>2021</v>
      </c>
      <c r="L136" s="26">
        <f t="shared" ref="L136" si="261">K136+1</f>
        <v>2022</v>
      </c>
      <c r="M136" s="26">
        <f t="shared" ref="M136" si="262">L136+1</f>
        <v>2023</v>
      </c>
      <c r="N136" s="26">
        <f t="shared" ref="N136" si="263">M136+1</f>
        <v>2024</v>
      </c>
      <c r="O136" s="26">
        <f t="shared" ref="O136" si="264">N136+1</f>
        <v>2025</v>
      </c>
      <c r="P136" s="26">
        <f t="shared" ref="P136" si="265">O136+1</f>
        <v>2026</v>
      </c>
      <c r="Q136" s="26">
        <f t="shared" ref="Q136" si="266">P136+1</f>
        <v>2027</v>
      </c>
      <c r="R136" s="26">
        <f t="shared" ref="R136:S136" si="267">Q136+1</f>
        <v>2028</v>
      </c>
      <c r="S136" s="26">
        <f t="shared" si="267"/>
        <v>2029</v>
      </c>
      <c r="T136" s="26">
        <f t="shared" ref="T136" si="268">S136+1</f>
        <v>2030</v>
      </c>
      <c r="U136" s="26">
        <f t="shared" ref="U136" si="269">T136+1</f>
        <v>2031</v>
      </c>
      <c r="V136" s="26">
        <f t="shared" ref="V136" si="270">U136+1</f>
        <v>2032</v>
      </c>
    </row>
    <row r="137" spans="1:22" x14ac:dyDescent="0.25">
      <c r="A137" s="26" t="s">
        <v>123</v>
      </c>
      <c r="B137" s="43">
        <v>2980</v>
      </c>
      <c r="C137" s="43">
        <v>2510</v>
      </c>
      <c r="D137" s="43">
        <v>2500</v>
      </c>
      <c r="E137" s="25">
        <f>E191*E111/1000*365</f>
        <v>3069.9120055288704</v>
      </c>
      <c r="F137" s="79">
        <v>2357</v>
      </c>
      <c r="G137" s="79">
        <v>3193</v>
      </c>
      <c r="H137" s="25">
        <f>H191*(H111-2.4)/1000*365</f>
        <v>2756.6405999999997</v>
      </c>
      <c r="I137" s="25">
        <f t="shared" ref="I137:S137" si="271">I191*(I111-2.4)/1000*365</f>
        <v>2818.1926529344614</v>
      </c>
      <c r="J137" s="25">
        <f t="shared" si="271"/>
        <v>2787.2960622475889</v>
      </c>
      <c r="K137" s="25">
        <f t="shared" si="271"/>
        <v>2756.8355121550871</v>
      </c>
      <c r="L137" s="25">
        <f t="shared" si="271"/>
        <v>2726.7487111434752</v>
      </c>
      <c r="M137" s="25">
        <f t="shared" si="271"/>
        <v>2696.9110761857901</v>
      </c>
      <c r="N137" s="25">
        <f t="shared" si="271"/>
        <v>2667.198024255068</v>
      </c>
      <c r="O137" s="25">
        <f t="shared" si="271"/>
        <v>2637.2358062704188</v>
      </c>
      <c r="P137" s="25">
        <f t="shared" si="271"/>
        <v>2607.1490052588069</v>
      </c>
      <c r="Q137" s="25">
        <f t="shared" si="271"/>
        <v>2576.8753297067501</v>
      </c>
      <c r="R137" s="25">
        <f t="shared" si="271"/>
        <v>2546.2901965872857</v>
      </c>
      <c r="S137" s="25">
        <f t="shared" si="271"/>
        <v>2516.4525616296</v>
      </c>
      <c r="T137" s="25">
        <f t="shared" ref="T137:V137" si="272">T191*(T111-2.4)/1000*365</f>
        <v>2486.9645664973605</v>
      </c>
      <c r="U137" s="25">
        <f t="shared" si="272"/>
        <v>2457.822114082745</v>
      </c>
      <c r="V137" s="25">
        <f t="shared" si="272"/>
        <v>2429.0211552881751</v>
      </c>
    </row>
    <row r="138" spans="1:22" x14ac:dyDescent="0.25">
      <c r="A138" s="21" t="s">
        <v>124</v>
      </c>
      <c r="B138" s="43">
        <v>1450</v>
      </c>
      <c r="C138" s="43">
        <v>1160</v>
      </c>
      <c r="D138" s="43">
        <v>1130</v>
      </c>
      <c r="E138" s="25">
        <v>1220</v>
      </c>
      <c r="F138" s="79">
        <v>1133</v>
      </c>
      <c r="G138" s="79">
        <v>1074</v>
      </c>
      <c r="H138" s="25">
        <f t="shared" ref="H138:S138" si="273">H192*H112/1000*365</f>
        <v>1127.8010461292135</v>
      </c>
      <c r="I138" s="25">
        <f t="shared" si="273"/>
        <v>1115.7903065664652</v>
      </c>
      <c r="J138" s="25">
        <f t="shared" si="273"/>
        <v>1103.5576026175468</v>
      </c>
      <c r="K138" s="25">
        <f t="shared" si="273"/>
        <v>1091.4975376356492</v>
      </c>
      <c r="L138" s="25">
        <f t="shared" si="273"/>
        <v>1079.5854489111987</v>
      </c>
      <c r="M138" s="25">
        <f t="shared" si="273"/>
        <v>1067.7720110250457</v>
      </c>
      <c r="N138" s="25">
        <f t="shared" si="273"/>
        <v>1056.0078985580415</v>
      </c>
      <c r="O138" s="25">
        <f t="shared" si="273"/>
        <v>1044.1451352527392</v>
      </c>
      <c r="P138" s="25">
        <f t="shared" si="273"/>
        <v>1032.2330465282885</v>
      </c>
      <c r="Q138" s="25">
        <f t="shared" si="273"/>
        <v>1020.2469696751144</v>
      </c>
      <c r="R138" s="25">
        <f t="shared" si="273"/>
        <v>1008.1375792740683</v>
      </c>
      <c r="S138" s="25">
        <f t="shared" si="273"/>
        <v>996.32414138791501</v>
      </c>
      <c r="T138" s="25">
        <f t="shared" ref="T138:V138" si="274">T192*T112/1000*365</f>
        <v>984.64913432465687</v>
      </c>
      <c r="U138" s="25">
        <f t="shared" si="274"/>
        <v>973.11093594068768</v>
      </c>
      <c r="V138" s="25">
        <f t="shared" si="274"/>
        <v>961.70794310081237</v>
      </c>
    </row>
    <row r="139" spans="1:22" x14ac:dyDescent="0.25">
      <c r="A139" s="21" t="s">
        <v>125</v>
      </c>
      <c r="B139" s="43">
        <v>7440</v>
      </c>
      <c r="C139" s="43">
        <v>7359</v>
      </c>
      <c r="D139" s="43">
        <v>7100</v>
      </c>
      <c r="E139" s="25">
        <v>6750</v>
      </c>
      <c r="F139" s="79">
        <v>5599</v>
      </c>
      <c r="G139" s="79">
        <v>5807</v>
      </c>
      <c r="H139" s="25">
        <f>H193*H113/1000*365</f>
        <v>5745.5602362715817</v>
      </c>
      <c r="I139" s="25">
        <f>I193*I113/1000*365</f>
        <v>5684.3717599203765</v>
      </c>
      <c r="J139" s="25">
        <f>J193*J113/1000*365</f>
        <v>5622.0524903717151</v>
      </c>
      <c r="K139" s="25">
        <f t="shared" ref="K139:S139" si="275">K193*K113/1000*365</f>
        <v>5560.6127266432977</v>
      </c>
      <c r="L139" s="25">
        <f t="shared" si="275"/>
        <v>5499.9268250465184</v>
      </c>
      <c r="M139" s="25">
        <f t="shared" si="275"/>
        <v>5439.7434982041623</v>
      </c>
      <c r="N139" s="25">
        <f t="shared" si="275"/>
        <v>5379.8114587390191</v>
      </c>
      <c r="O139" s="25">
        <f t="shared" si="275"/>
        <v>5319.376844519451</v>
      </c>
      <c r="P139" s="25">
        <f t="shared" si="275"/>
        <v>5258.6909429226698</v>
      </c>
      <c r="Q139" s="25">
        <f t="shared" si="275"/>
        <v>5197.6281102600724</v>
      </c>
      <c r="R139" s="25">
        <f t="shared" si="275"/>
        <v>5135.9370591544421</v>
      </c>
      <c r="S139" s="25">
        <f t="shared" si="275"/>
        <v>5075.7537323120869</v>
      </c>
      <c r="T139" s="25">
        <f t="shared" ref="T139:V139" si="276">T193*T113/1000*365</f>
        <v>5016.2756385728817</v>
      </c>
      <c r="U139" s="25">
        <f t="shared" si="276"/>
        <v>4957.4945139581487</v>
      </c>
      <c r="V139" s="25">
        <f t="shared" si="276"/>
        <v>4899.4021913271845</v>
      </c>
    </row>
    <row r="140" spans="1:22" x14ac:dyDescent="0.25">
      <c r="A140" s="21" t="s">
        <v>126</v>
      </c>
      <c r="B140" s="44">
        <v>17890</v>
      </c>
      <c r="C140" s="44">
        <v>17300</v>
      </c>
      <c r="D140" s="44">
        <v>16940</v>
      </c>
      <c r="E140" s="25">
        <v>16600</v>
      </c>
      <c r="F140" s="79">
        <v>16120</v>
      </c>
      <c r="G140" s="79">
        <v>13626</v>
      </c>
      <c r="H140" s="25">
        <f>H194*H114/1000*365</f>
        <v>15797.679124663489</v>
      </c>
      <c r="I140" s="25">
        <f t="shared" ref="I140:S140" si="277">I194*I114/1000*365</f>
        <v>15629.43862664886</v>
      </c>
      <c r="J140" s="25">
        <f t="shared" si="277"/>
        <v>15458.088961319787</v>
      </c>
      <c r="K140" s="25">
        <f t="shared" si="277"/>
        <v>15289.157537235282</v>
      </c>
      <c r="L140" s="25">
        <f t="shared" si="277"/>
        <v>15122.2988913604</v>
      </c>
      <c r="M140" s="25">
        <f t="shared" si="277"/>
        <v>14956.822097625269</v>
      </c>
      <c r="N140" s="25">
        <f t="shared" si="277"/>
        <v>14792.036229960015</v>
      </c>
      <c r="O140" s="25">
        <f t="shared" si="277"/>
        <v>14625.868510155005</v>
      </c>
      <c r="P140" s="25">
        <f t="shared" si="277"/>
        <v>14459.009864280124</v>
      </c>
      <c r="Q140" s="25">
        <f t="shared" si="277"/>
        <v>14291.114829300432</v>
      </c>
      <c r="R140" s="25">
        <f t="shared" si="277"/>
        <v>14121.492479146047</v>
      </c>
      <c r="S140" s="25">
        <f t="shared" si="277"/>
        <v>13956.015685410919</v>
      </c>
      <c r="T140" s="25">
        <f t="shared" ref="T140:V140" si="278">T194*T114/1000*365</f>
        <v>13792.477962160392</v>
      </c>
      <c r="U140" s="25">
        <f t="shared" si="278"/>
        <v>13630.85658720932</v>
      </c>
      <c r="V140" s="25">
        <f t="shared" si="278"/>
        <v>13471.129104632977</v>
      </c>
    </row>
    <row r="141" spans="1:22" x14ac:dyDescent="0.25">
      <c r="A141" s="21" t="s">
        <v>314</v>
      </c>
      <c r="B141" s="44"/>
      <c r="C141" s="44"/>
      <c r="D141" s="44"/>
      <c r="E141" s="25"/>
      <c r="F141" s="79">
        <v>0</v>
      </c>
      <c r="G141" s="79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f>M195*M115*365/1000</f>
        <v>1057.45119071049</v>
      </c>
      <c r="N141" s="25">
        <f t="shared" ref="N141:S141" si="279">N195*N115*365/1000</f>
        <v>2091.6015744932097</v>
      </c>
      <c r="O141" s="25">
        <f t="shared" si="279"/>
        <v>3102.1580594371176</v>
      </c>
      <c r="P141" s="25">
        <f t="shared" si="279"/>
        <v>3066.7672111789011</v>
      </c>
      <c r="Q141" s="25">
        <f t="shared" si="279"/>
        <v>3031.156543987403</v>
      </c>
      <c r="R141" s="25">
        <f t="shared" si="279"/>
        <v>2995.1795119071044</v>
      </c>
      <c r="S141" s="25">
        <f t="shared" si="279"/>
        <v>2960.0817555599288</v>
      </c>
      <c r="T141" s="25">
        <f t="shared" ref="T141:V141" si="280">T195*T115*365/1000</f>
        <v>2925.3952775670919</v>
      </c>
      <c r="U141" s="25">
        <f t="shared" si="280"/>
        <v>2891.115258535493</v>
      </c>
      <c r="V141" s="25">
        <f t="shared" si="280"/>
        <v>2857.2369355460746</v>
      </c>
    </row>
    <row r="142" spans="1:22" x14ac:dyDescent="0.25">
      <c r="A142" s="26" t="s">
        <v>127</v>
      </c>
      <c r="B142" s="43">
        <v>3930</v>
      </c>
      <c r="C142" s="43">
        <v>3860</v>
      </c>
      <c r="D142" s="43">
        <v>3890</v>
      </c>
      <c r="E142" s="25">
        <v>3860</v>
      </c>
      <c r="F142" s="79">
        <v>2786</v>
      </c>
      <c r="G142" s="79">
        <v>3022</v>
      </c>
      <c r="H142" s="25">
        <f t="shared" ref="H142:H148" si="281">H196*H116/1000*365</f>
        <v>3691.5110764896785</v>
      </c>
      <c r="I142" s="25">
        <f t="shared" ref="I142:S142" si="282">I196*I116/1000*365</f>
        <v>3885.3165974230719</v>
      </c>
      <c r="J142" s="25">
        <f t="shared" si="282"/>
        <v>3842.7208449735372</v>
      </c>
      <c r="K142" s="25">
        <f t="shared" si="282"/>
        <v>3800.726242256153</v>
      </c>
      <c r="L142" s="25">
        <f t="shared" si="282"/>
        <v>3759.2469107377551</v>
      </c>
      <c r="M142" s="25">
        <f t="shared" si="282"/>
        <v>3718.1110933520154</v>
      </c>
      <c r="N142" s="25">
        <f t="shared" si="282"/>
        <v>3677.1470330326038</v>
      </c>
      <c r="O142" s="25">
        <f t="shared" si="282"/>
        <v>3635.8394585805354</v>
      </c>
      <c r="P142" s="25">
        <f t="shared" si="282"/>
        <v>3594.360127062138</v>
      </c>
      <c r="Q142" s="25">
        <f t="shared" si="282"/>
        <v>3552.6231599442467</v>
      </c>
      <c r="R142" s="25">
        <f t="shared" si="282"/>
        <v>3510.4568001605344</v>
      </c>
      <c r="S142" s="25">
        <f t="shared" si="282"/>
        <v>3469.3209827747942</v>
      </c>
      <c r="T142" s="25">
        <f t="shared" ref="T142:V142" si="283">T196*T116/1000*365</f>
        <v>3428.6671982321627</v>
      </c>
      <c r="U142" s="25">
        <f t="shared" si="283"/>
        <v>3388.4897980327064</v>
      </c>
      <c r="V142" s="25">
        <f t="shared" si="283"/>
        <v>3348.7831998660686</v>
      </c>
    </row>
    <row r="143" spans="1:22" x14ac:dyDescent="0.25">
      <c r="A143" s="21" t="s">
        <v>253</v>
      </c>
      <c r="B143" s="43">
        <v>230</v>
      </c>
      <c r="C143" s="43">
        <v>650</v>
      </c>
      <c r="D143" s="43">
        <v>510</v>
      </c>
      <c r="E143" s="25">
        <v>590</v>
      </c>
      <c r="F143" s="79">
        <v>548</v>
      </c>
      <c r="G143" s="79">
        <v>541</v>
      </c>
      <c r="H143" s="25">
        <f t="shared" si="281"/>
        <v>882.56237829417125</v>
      </c>
      <c r="I143" s="25">
        <f t="shared" ref="I143:S143" si="284">I197*I117/1000*365</f>
        <v>873.16335626812076</v>
      </c>
      <c r="J143" s="25">
        <f t="shared" si="284"/>
        <v>863.59063568306749</v>
      </c>
      <c r="K143" s="25">
        <f t="shared" si="284"/>
        <v>854.1530139772384</v>
      </c>
      <c r="L143" s="25">
        <f t="shared" si="284"/>
        <v>844.831191310745</v>
      </c>
      <c r="M143" s="25">
        <f t="shared" si="284"/>
        <v>835.58656800380822</v>
      </c>
      <c r="N143" s="25">
        <f t="shared" si="284"/>
        <v>826.38054437664982</v>
      </c>
      <c r="O143" s="25">
        <f t="shared" si="284"/>
        <v>817.09732138993479</v>
      </c>
      <c r="P143" s="25">
        <f t="shared" si="284"/>
        <v>807.77549872344127</v>
      </c>
      <c r="Q143" s="25">
        <f t="shared" si="284"/>
        <v>798.39577653727986</v>
      </c>
      <c r="R143" s="25">
        <f t="shared" si="284"/>
        <v>788.91955515167274</v>
      </c>
      <c r="S143" s="25">
        <f t="shared" si="284"/>
        <v>779.67493184473608</v>
      </c>
      <c r="T143" s="25">
        <f t="shared" ref="T143:V143" si="285">T197*T117/1000*365</f>
        <v>770.53863778319464</v>
      </c>
      <c r="U143" s="25">
        <f t="shared" si="285"/>
        <v>761.50940355616842</v>
      </c>
      <c r="V143" s="25">
        <f t="shared" si="285"/>
        <v>752.58597462783689</v>
      </c>
    </row>
    <row r="144" spans="1:22" x14ac:dyDescent="0.25">
      <c r="A144" s="21" t="s">
        <v>129</v>
      </c>
      <c r="B144" s="43">
        <v>2070</v>
      </c>
      <c r="C144" s="43">
        <v>1570</v>
      </c>
      <c r="D144" s="43">
        <v>1590</v>
      </c>
      <c r="E144" s="25">
        <v>1580</v>
      </c>
      <c r="F144" s="79">
        <v>1224</v>
      </c>
      <c r="G144" s="79">
        <v>1145</v>
      </c>
      <c r="H144" s="25">
        <f>H198*H118/1000*365*0.7</f>
        <v>1182.1490442844192</v>
      </c>
      <c r="I144" s="25">
        <f t="shared" ref="I144:S144" si="286">I198*I118/1000*365*0.7</f>
        <v>1174.7823025075331</v>
      </c>
      <c r="J144" s="25">
        <f t="shared" si="286"/>
        <v>1167.2794197121832</v>
      </c>
      <c r="K144" s="25">
        <f t="shared" si="286"/>
        <v>1159.882424375638</v>
      </c>
      <c r="L144" s="25">
        <f t="shared" si="286"/>
        <v>1152.5761897180694</v>
      </c>
      <c r="M144" s="25">
        <f t="shared" si="286"/>
        <v>1145.3304621798177</v>
      </c>
      <c r="N144" s="25">
        <f t="shared" si="286"/>
        <v>1138.1149882012246</v>
      </c>
      <c r="O144" s="25">
        <f t="shared" si="286"/>
        <v>1130.8390071033143</v>
      </c>
      <c r="P144" s="25">
        <f t="shared" si="286"/>
        <v>1123.5327724457454</v>
      </c>
      <c r="Q144" s="25">
        <f t="shared" si="286"/>
        <v>1116.1811574486887</v>
      </c>
      <c r="R144" s="25">
        <f t="shared" si="286"/>
        <v>1108.7539085524847</v>
      </c>
      <c r="S144" s="25">
        <f t="shared" si="286"/>
        <v>1101.5081810142333</v>
      </c>
      <c r="T144" s="25">
        <f t="shared" ref="T144:V144" si="287">T198*T118/1000*365*0.7</f>
        <v>1094.347359498704</v>
      </c>
      <c r="U144" s="25">
        <f t="shared" si="287"/>
        <v>1087.2704490702395</v>
      </c>
      <c r="V144" s="25">
        <f t="shared" si="287"/>
        <v>1080.2764664519184</v>
      </c>
    </row>
    <row r="145" spans="1:22" x14ac:dyDescent="0.25">
      <c r="A145" s="21" t="s">
        <v>130</v>
      </c>
      <c r="B145" s="43">
        <v>1150</v>
      </c>
      <c r="C145" s="43">
        <v>1180</v>
      </c>
      <c r="D145" s="43">
        <v>1080</v>
      </c>
      <c r="E145" s="25">
        <v>970</v>
      </c>
      <c r="F145" s="79">
        <v>951</v>
      </c>
      <c r="G145" s="79">
        <v>1064</v>
      </c>
      <c r="H145" s="25">
        <f t="shared" si="281"/>
        <v>1052.7425678307152</v>
      </c>
      <c r="I145" s="25">
        <f t="shared" ref="I145:S145" si="288">I199*I119/1000*365</f>
        <v>1041.5311783287896</v>
      </c>
      <c r="J145" s="25">
        <f t="shared" si="288"/>
        <v>1030.1125968237482</v>
      </c>
      <c r="K145" s="25">
        <f t="shared" si="288"/>
        <v>1018.8551646544636</v>
      </c>
      <c r="L145" s="25">
        <f t="shared" si="288"/>
        <v>1007.7358604872562</v>
      </c>
      <c r="M145" s="25">
        <f t="shared" si="288"/>
        <v>996.70864165476667</v>
      </c>
      <c r="N145" s="25">
        <f t="shared" si="288"/>
        <v>985.72746548963596</v>
      </c>
      <c r="O145" s="25">
        <f t="shared" si="288"/>
        <v>974.65420398978767</v>
      </c>
      <c r="P145" s="25">
        <f t="shared" si="288"/>
        <v>963.53489982258009</v>
      </c>
      <c r="Q145" s="25">
        <f t="shared" si="288"/>
        <v>952.34653165433383</v>
      </c>
      <c r="R145" s="25">
        <f t="shared" si="288"/>
        <v>941.04305681769029</v>
      </c>
      <c r="S145" s="25">
        <f t="shared" si="288"/>
        <v>930.01583798520073</v>
      </c>
      <c r="T145" s="25">
        <f t="shared" ref="T145:V145" si="289">T199*T119/1000*365</f>
        <v>919.11783699699424</v>
      </c>
      <c r="U145" s="25">
        <f t="shared" si="289"/>
        <v>908.34753966789583</v>
      </c>
      <c r="V145" s="25">
        <f t="shared" si="289"/>
        <v>897.70344955607447</v>
      </c>
    </row>
    <row r="146" spans="1:22" x14ac:dyDescent="0.25">
      <c r="A146" s="21" t="s">
        <v>131</v>
      </c>
      <c r="B146" s="43">
        <v>8580</v>
      </c>
      <c r="C146" s="43">
        <v>8640</v>
      </c>
      <c r="D146" s="43">
        <v>8790</v>
      </c>
      <c r="E146" s="25">
        <f>E200*E120/1000*365*1.08</f>
        <v>8931.4790161774781</v>
      </c>
      <c r="F146" s="79">
        <v>8084</v>
      </c>
      <c r="G146" s="79">
        <v>7711</v>
      </c>
      <c r="H146" s="25">
        <f t="shared" si="281"/>
        <v>7696.5436792857927</v>
      </c>
      <c r="I146" s="25">
        <f t="shared" ref="I146:S146" si="290">I200*I120/1000*365</f>
        <v>7614.5778201633066</v>
      </c>
      <c r="J146" s="25">
        <f t="shared" si="290"/>
        <v>7531.0971915703822</v>
      </c>
      <c r="K146" s="25">
        <f t="shared" si="290"/>
        <v>7448.7947170100215</v>
      </c>
      <c r="L146" s="25">
        <f t="shared" si="290"/>
        <v>7367.5020887632845</v>
      </c>
      <c r="M146" s="25">
        <f t="shared" si="290"/>
        <v>7286.8826913922976</v>
      </c>
      <c r="N146" s="25">
        <f t="shared" si="290"/>
        <v>7206.5999094591834</v>
      </c>
      <c r="O146" s="25">
        <f t="shared" si="290"/>
        <v>7125.643896650321</v>
      </c>
      <c r="P146" s="25">
        <f t="shared" si="290"/>
        <v>7044.3512684035859</v>
      </c>
      <c r="Q146" s="25">
        <f t="shared" si="290"/>
        <v>6962.5537170000352</v>
      </c>
      <c r="R146" s="25">
        <f t="shared" si="290"/>
        <v>6879.9146270018009</v>
      </c>
      <c r="S146" s="25">
        <f t="shared" si="290"/>
        <v>6799.2952296308122</v>
      </c>
      <c r="T146" s="25">
        <f t="shared" ref="T146:V146" si="291">T200*T120/1000*365</f>
        <v>6719.6205368942337</v>
      </c>
      <c r="U146" s="25">
        <f t="shared" si="291"/>
        <v>6640.8794786665667</v>
      </c>
      <c r="V146" s="25">
        <f t="shared" si="291"/>
        <v>6563.0611145429439</v>
      </c>
    </row>
    <row r="147" spans="1:22" x14ac:dyDescent="0.25">
      <c r="A147" s="21" t="s">
        <v>132</v>
      </c>
      <c r="B147" s="43">
        <v>473</v>
      </c>
      <c r="C147" s="43">
        <v>420</v>
      </c>
      <c r="D147" s="43">
        <v>340</v>
      </c>
      <c r="E147" s="25">
        <f>E201*E121/1000*365*0.806</f>
        <v>357.91095456291066</v>
      </c>
      <c r="F147" s="79">
        <v>215</v>
      </c>
      <c r="G147" s="79">
        <v>220</v>
      </c>
      <c r="H147" s="25">
        <f t="shared" si="281"/>
        <v>234.86751809112752</v>
      </c>
      <c r="I147" s="25">
        <f t="shared" ref="I147:S147" si="292">I201*I121/1000*365</f>
        <v>232.36625015807897</v>
      </c>
      <c r="J147" s="25">
        <f t="shared" si="292"/>
        <v>229.81875756096991</v>
      </c>
      <c r="K147" s="25">
        <f t="shared" si="292"/>
        <v>227.30721748035234</v>
      </c>
      <c r="L147" s="25">
        <f t="shared" si="292"/>
        <v>224.82649384244172</v>
      </c>
      <c r="M147" s="25">
        <f t="shared" si="292"/>
        <v>222.36631449966913</v>
      </c>
      <c r="N147" s="25">
        <f t="shared" si="292"/>
        <v>219.91640730446545</v>
      </c>
      <c r="O147" s="25">
        <f t="shared" si="292"/>
        <v>217.44595581412378</v>
      </c>
      <c r="P147" s="25">
        <f t="shared" si="292"/>
        <v>214.96523217621322</v>
      </c>
      <c r="Q147" s="25">
        <f t="shared" si="292"/>
        <v>212.4691003169491</v>
      </c>
      <c r="R147" s="25">
        <f t="shared" si="292"/>
        <v>209.94728808876258</v>
      </c>
      <c r="S147" s="25">
        <f t="shared" si="292"/>
        <v>207.48710874598996</v>
      </c>
      <c r="T147" s="25">
        <f t="shared" ref="T147:V147" si="293">T201*T121/1000*365</f>
        <v>205.05575798420875</v>
      </c>
      <c r="U147" s="25">
        <f t="shared" si="293"/>
        <v>202.65289798776976</v>
      </c>
      <c r="V147" s="25">
        <f t="shared" si="293"/>
        <v>200.27819489957494</v>
      </c>
    </row>
    <row r="148" spans="1:22" x14ac:dyDescent="0.25">
      <c r="A148" s="21" t="s">
        <v>133</v>
      </c>
      <c r="B148" s="43">
        <v>1990</v>
      </c>
      <c r="C148" s="43">
        <v>1870</v>
      </c>
      <c r="D148" s="43">
        <v>2160</v>
      </c>
      <c r="E148" s="25">
        <f>E202*E122/1000*365*0.9915</f>
        <v>2000.189782918492</v>
      </c>
      <c r="F148" s="79">
        <v>1947</v>
      </c>
      <c r="G148" s="79">
        <v>2071</v>
      </c>
      <c r="H148" s="25">
        <f t="shared" si="281"/>
        <v>1743.3879667262506</v>
      </c>
      <c r="I148" s="25">
        <f t="shared" ref="I148:S148" si="294">I202*I122/1000*365</f>
        <v>1724.8214129027319</v>
      </c>
      <c r="J148" s="25">
        <f t="shared" si="294"/>
        <v>1705.9117400147131</v>
      </c>
      <c r="K148" s="25">
        <f t="shared" si="294"/>
        <v>1687.2689375101943</v>
      </c>
      <c r="L148" s="25">
        <f t="shared" si="294"/>
        <v>1668.8548810486757</v>
      </c>
      <c r="M148" s="25">
        <f t="shared" si="294"/>
        <v>1650.5933219491574</v>
      </c>
      <c r="N148" s="25">
        <f t="shared" si="294"/>
        <v>1632.4080115306394</v>
      </c>
      <c r="O148" s="25">
        <f t="shared" si="294"/>
        <v>1614.070203750121</v>
      </c>
      <c r="P148" s="25">
        <f t="shared" si="294"/>
        <v>1595.6561472886024</v>
      </c>
      <c r="Q148" s="25">
        <f t="shared" si="294"/>
        <v>1577.1277178055836</v>
      </c>
      <c r="R148" s="25">
        <f t="shared" si="294"/>
        <v>1558.4086666200649</v>
      </c>
      <c r="S148" s="25">
        <f t="shared" si="294"/>
        <v>1540.147107520547</v>
      </c>
      <c r="T148" s="25">
        <f t="shared" ref="T148:V148" si="295">T202*T122/1000*365</f>
        <v>1522.0995388510667</v>
      </c>
      <c r="U148" s="25">
        <f t="shared" si="295"/>
        <v>1504.2634530544165</v>
      </c>
      <c r="V148" s="25">
        <f t="shared" si="295"/>
        <v>1486.6363719571475</v>
      </c>
    </row>
    <row r="149" spans="1:22" x14ac:dyDescent="0.25">
      <c r="A149" s="21" t="s">
        <v>134</v>
      </c>
      <c r="B149" s="43">
        <v>770</v>
      </c>
      <c r="C149" s="43">
        <v>820</v>
      </c>
      <c r="D149" s="43">
        <v>730</v>
      </c>
      <c r="E149" s="25">
        <f>E203*E123/1000*365*0.94</f>
        <v>709.53372159460002</v>
      </c>
      <c r="F149" s="79">
        <v>844</v>
      </c>
      <c r="G149" s="79">
        <v>762</v>
      </c>
      <c r="H149" s="25">
        <f t="shared" ref="H149:S149" si="296">H203*H123/1000*365*0.94</f>
        <v>710.56165649746822</v>
      </c>
      <c r="I149" s="25">
        <f t="shared" si="296"/>
        <v>702.99439006447687</v>
      </c>
      <c r="J149" s="25">
        <f t="shared" si="296"/>
        <v>695.28727681855537</v>
      </c>
      <c r="K149" s="25">
        <f t="shared" si="296"/>
        <v>687.68893331602385</v>
      </c>
      <c r="L149" s="25">
        <f t="shared" si="296"/>
        <v>680.1838210221124</v>
      </c>
      <c r="M149" s="25">
        <f t="shared" si="296"/>
        <v>672.74086286728084</v>
      </c>
      <c r="N149" s="25">
        <f t="shared" si="296"/>
        <v>665.32898178198957</v>
      </c>
      <c r="O149" s="25">
        <f t="shared" si="296"/>
        <v>657.85494655761806</v>
      </c>
      <c r="P149" s="25">
        <f t="shared" si="296"/>
        <v>650.3498342637065</v>
      </c>
      <c r="Q149" s="25">
        <f t="shared" si="296"/>
        <v>642.79810636548518</v>
      </c>
      <c r="R149" s="25">
        <f t="shared" si="296"/>
        <v>635.16868579341383</v>
      </c>
      <c r="S149" s="25">
        <f t="shared" si="296"/>
        <v>627.72572763858216</v>
      </c>
      <c r="T149" s="25">
        <f t="shared" ref="T149:V149" si="297">T203*T123/1000*365*0.94</f>
        <v>620.36998667082844</v>
      </c>
      <c r="U149" s="25">
        <f t="shared" si="297"/>
        <v>613.10044087208269</v>
      </c>
      <c r="V149" s="25">
        <f t="shared" si="297"/>
        <v>605.91608020036699</v>
      </c>
    </row>
    <row r="150" spans="1:22" x14ac:dyDescent="0.25">
      <c r="A150" s="21" t="s">
        <v>239</v>
      </c>
      <c r="B150" s="46">
        <f t="shared" ref="B150:D151" si="298">B204*B124/1000*365</f>
        <v>1531.8096825871135</v>
      </c>
      <c r="C150" s="46">
        <f t="shared" si="298"/>
        <v>1516.7764915206569</v>
      </c>
      <c r="D150" s="46">
        <f t="shared" si="298"/>
        <v>1501.8908362977254</v>
      </c>
      <c r="E150" s="43">
        <v>1486</v>
      </c>
      <c r="F150" s="79">
        <v>3640</v>
      </c>
      <c r="G150" s="79">
        <v>3349</v>
      </c>
      <c r="H150" s="25">
        <f>(F150+G150)/2</f>
        <v>3494.5</v>
      </c>
      <c r="I150" s="25">
        <f>I17/H17*H150</f>
        <v>3457.2846333836296</v>
      </c>
      <c r="J150" s="25">
        <f t="shared" ref="J150:S150" si="299">J17/I17*I150</f>
        <v>3419.381508451967</v>
      </c>
      <c r="K150" s="25">
        <f t="shared" si="299"/>
        <v>3382.0133066544208</v>
      </c>
      <c r="L150" s="25">
        <f t="shared" si="299"/>
        <v>3345.1036104004029</v>
      </c>
      <c r="M150" s="25">
        <f t="shared" si="299"/>
        <v>3308.4995845087369</v>
      </c>
      <c r="N150" s="25">
        <f t="shared" si="299"/>
        <v>3272.0483937982467</v>
      </c>
      <c r="O150" s="25">
        <f t="shared" si="299"/>
        <v>3235.2915327254041</v>
      </c>
      <c r="P150" s="25">
        <f t="shared" si="299"/>
        <v>3198.3818364713861</v>
      </c>
      <c r="Q150" s="25">
        <f t="shared" si="299"/>
        <v>3161.2428874456032</v>
      </c>
      <c r="R150" s="25">
        <f t="shared" si="299"/>
        <v>3123.7218504668808</v>
      </c>
      <c r="S150" s="25">
        <f t="shared" si="299"/>
        <v>3087.1178245752149</v>
      </c>
      <c r="T150" s="25">
        <f t="shared" ref="T150" si="300">T17/S17*S150</f>
        <v>3050.9427276265269</v>
      </c>
      <c r="U150" s="25">
        <f t="shared" ref="U150" si="301">U17/T17*T150</f>
        <v>3015.1915333966886</v>
      </c>
      <c r="V150" s="25">
        <f t="shared" ref="V150" si="302">V17/U17*U150</f>
        <v>2979.8592745592737</v>
      </c>
    </row>
    <row r="151" spans="1:22" x14ac:dyDescent="0.25">
      <c r="A151" s="21" t="s">
        <v>137</v>
      </c>
      <c r="B151" s="46">
        <f t="shared" si="298"/>
        <v>6550.1717400000007</v>
      </c>
      <c r="C151" s="46">
        <f t="shared" si="298"/>
        <v>6485.8883081840995</v>
      </c>
      <c r="D151" s="46">
        <f t="shared" si="298"/>
        <v>6422.2357544230135</v>
      </c>
      <c r="E151" s="43">
        <v>6390</v>
      </c>
      <c r="F151" s="79">
        <v>4879</v>
      </c>
      <c r="G151" s="106">
        <v>4849</v>
      </c>
      <c r="H151" s="25">
        <f t="shared" ref="H151:S151" si="303">H205*H125/1000*365</f>
        <v>5145.8191929285949</v>
      </c>
      <c r="I151" s="25">
        <f t="shared" si="303"/>
        <v>5091.0177770446644</v>
      </c>
      <c r="J151" s="25">
        <f t="shared" si="303"/>
        <v>5035.2036039883424</v>
      </c>
      <c r="K151" s="25">
        <f t="shared" si="303"/>
        <v>4980.1771309549922</v>
      </c>
      <c r="L151" s="25">
        <f t="shared" si="303"/>
        <v>4925.8258293699046</v>
      </c>
      <c r="M151" s="25">
        <f t="shared" si="303"/>
        <v>4871.9246420836571</v>
      </c>
      <c r="N151" s="25">
        <f t="shared" si="303"/>
        <v>4818.2485119468301</v>
      </c>
      <c r="O151" s="25">
        <f t="shared" si="303"/>
        <v>4764.1222675111621</v>
      </c>
      <c r="P151" s="25">
        <f t="shared" si="303"/>
        <v>4709.7709659260736</v>
      </c>
      <c r="Q151" s="25">
        <f t="shared" si="303"/>
        <v>4655.0820786168542</v>
      </c>
      <c r="R151" s="25">
        <f t="shared" si="303"/>
        <v>4599.8305484340835</v>
      </c>
      <c r="S151" s="25">
        <f t="shared" si="303"/>
        <v>4545.9293611478361</v>
      </c>
      <c r="T151" s="25">
        <f t="shared" ref="T151:V151" si="304">T205*T125/1000*365</f>
        <v>4492.6597923441122</v>
      </c>
      <c r="U151" s="25">
        <f t="shared" si="304"/>
        <v>4440.0144406663276</v>
      </c>
      <c r="V151" s="25">
        <f t="shared" si="304"/>
        <v>4387.9859914875915</v>
      </c>
    </row>
    <row r="152" spans="1:22" x14ac:dyDescent="0.25">
      <c r="A152" s="21" t="s">
        <v>251</v>
      </c>
      <c r="B152" s="46"/>
      <c r="C152" s="46"/>
      <c r="D152" s="46"/>
      <c r="E152" s="76"/>
      <c r="F152" s="79">
        <v>3546</v>
      </c>
      <c r="G152" s="79">
        <v>3439</v>
      </c>
      <c r="H152" s="25">
        <f t="shared" ref="H152:S152" si="305">H206*H126/1000*365</f>
        <v>3023.2425863763651</v>
      </c>
      <c r="I152" s="25">
        <f t="shared" si="305"/>
        <v>2991.0459684847588</v>
      </c>
      <c r="J152" s="25">
        <f t="shared" si="305"/>
        <v>3120.3504695140427</v>
      </c>
      <c r="K152" s="25">
        <f t="shared" si="305"/>
        <v>3246.5748687895257</v>
      </c>
      <c r="L152" s="25">
        <f t="shared" si="305"/>
        <v>3409.3620049084157</v>
      </c>
      <c r="M152" s="25">
        <f t="shared" si="305"/>
        <v>3528.8945865247319</v>
      </c>
      <c r="N152" s="25">
        <f t="shared" si="305"/>
        <v>3645.1269944301239</v>
      </c>
      <c r="O152" s="25">
        <f t="shared" si="305"/>
        <v>3642.5214511353033</v>
      </c>
      <c r="P152" s="25">
        <f t="shared" si="305"/>
        <v>3600.9658883675511</v>
      </c>
      <c r="Q152" s="25">
        <f t="shared" si="305"/>
        <v>3559.1522165142846</v>
      </c>
      <c r="R152" s="25">
        <f t="shared" si="305"/>
        <v>3516.9083628518279</v>
      </c>
      <c r="S152" s="25">
        <f t="shared" si="305"/>
        <v>3475.696945531427</v>
      </c>
      <c r="T152" s="25">
        <f t="shared" ref="T152:V152" si="306">T206*T126/1000*365</f>
        <v>3434.9684469402987</v>
      </c>
      <c r="U152" s="25">
        <f t="shared" si="306"/>
        <v>3394.7172081976209</v>
      </c>
      <c r="V152" s="25">
        <f t="shared" si="306"/>
        <v>3354.9376367337995</v>
      </c>
    </row>
    <row r="153" spans="1:22" x14ac:dyDescent="0.25">
      <c r="A153" s="26" t="s">
        <v>252</v>
      </c>
      <c r="B153" s="46"/>
      <c r="C153" s="46"/>
      <c r="D153" s="46"/>
      <c r="E153" s="76"/>
      <c r="F153" s="79">
        <v>12149</v>
      </c>
      <c r="G153" s="79">
        <v>13797</v>
      </c>
      <c r="H153" s="25">
        <f>H207*H127/1000*365*0.9</f>
        <v>14063.60403</v>
      </c>
      <c r="I153" s="25">
        <f t="shared" ref="I153:S153" si="307">I207*I127/1000*365*0.9</f>
        <v>13913.83090654202</v>
      </c>
      <c r="J153" s="25">
        <f t="shared" si="307"/>
        <v>14515.333184251131</v>
      </c>
      <c r="K153" s="25">
        <f t="shared" si="307"/>
        <v>15102.50735887227</v>
      </c>
      <c r="L153" s="25">
        <f t="shared" si="307"/>
        <v>15859.765090643576</v>
      </c>
      <c r="M153" s="25">
        <f t="shared" si="307"/>
        <v>16415.810081578431</v>
      </c>
      <c r="N153" s="25">
        <f t="shared" si="307"/>
        <v>16956.503232568393</v>
      </c>
      <c r="O153" s="25">
        <f t="shared" si="307"/>
        <v>16944.382693731546</v>
      </c>
      <c r="P153" s="25">
        <f t="shared" si="307"/>
        <v>16751.073369946858</v>
      </c>
      <c r="Q153" s="25">
        <f t="shared" si="307"/>
        <v>16556.563367132454</v>
      </c>
      <c r="R153" s="25">
        <f t="shared" si="307"/>
        <v>16360.052232601853</v>
      </c>
      <c r="S153" s="25">
        <f t="shared" si="307"/>
        <v>16168.343814190119</v>
      </c>
      <c r="T153" s="25">
        <f t="shared" ref="T153:V153" si="308">T207*T127/1000*365*0.9</f>
        <v>15978.881850567615</v>
      </c>
      <c r="U153" s="25">
        <f t="shared" si="308"/>
        <v>15791.640017594993</v>
      </c>
      <c r="V153" s="25">
        <f t="shared" si="308"/>
        <v>15606.592299601303</v>
      </c>
    </row>
    <row r="154" spans="1:22" x14ac:dyDescent="0.25">
      <c r="A154" s="21" t="s">
        <v>249</v>
      </c>
      <c r="B154" s="46"/>
      <c r="C154" s="46"/>
      <c r="D154" s="46"/>
      <c r="E154" s="76"/>
      <c r="F154" s="79">
        <v>6048</v>
      </c>
      <c r="G154" s="79">
        <v>5930</v>
      </c>
      <c r="H154" s="25">
        <f t="shared" ref="H154:S154" si="309">H208*H128/1000*365</f>
        <v>6186.2477735947023</v>
      </c>
      <c r="I154" s="25">
        <f t="shared" si="309"/>
        <v>6120.3661084425967</v>
      </c>
      <c r="J154" s="25">
        <f t="shared" si="309"/>
        <v>6053.2669176511317</v>
      </c>
      <c r="K154" s="25">
        <f t="shared" si="309"/>
        <v>5987.1146912458353</v>
      </c>
      <c r="L154" s="25">
        <f t="shared" si="309"/>
        <v>5921.7741486001123</v>
      </c>
      <c r="M154" s="25">
        <f t="shared" si="309"/>
        <v>5856.974728460772</v>
      </c>
      <c r="N154" s="25">
        <f t="shared" si="309"/>
        <v>5792.4458695746243</v>
      </c>
      <c r="O154" s="25">
        <f t="shared" si="309"/>
        <v>5727.3758881820931</v>
      </c>
      <c r="P154" s="25">
        <f t="shared" si="309"/>
        <v>5662.0353455363702</v>
      </c>
      <c r="Q154" s="25">
        <f t="shared" si="309"/>
        <v>5596.2889610108605</v>
      </c>
      <c r="R154" s="25">
        <f t="shared" si="309"/>
        <v>5529.8661733523732</v>
      </c>
      <c r="S154" s="25">
        <f t="shared" si="309"/>
        <v>5465.0667532130328</v>
      </c>
      <c r="T154" s="25">
        <f t="shared" ref="T154:V154" si="310">T208*T128/1000*365</f>
        <v>5401.026657932337</v>
      </c>
      <c r="U154" s="25">
        <f t="shared" si="310"/>
        <v>5337.7369896800292</v>
      </c>
      <c r="V154" s="25">
        <f t="shared" si="310"/>
        <v>5275.1889548913523</v>
      </c>
    </row>
    <row r="155" spans="1:22" x14ac:dyDescent="0.25">
      <c r="A155" s="21" t="s">
        <v>250</v>
      </c>
      <c r="B155" s="46"/>
      <c r="C155" s="46"/>
      <c r="D155" s="46"/>
      <c r="E155" s="76"/>
      <c r="F155" s="79">
        <v>3624</v>
      </c>
      <c r="G155" s="79">
        <v>3450</v>
      </c>
      <c r="H155" s="25">
        <f t="shared" ref="H155:S155" si="311">H209*H129/1000*365</f>
        <v>3601.8043463585609</v>
      </c>
      <c r="I155" s="25">
        <f t="shared" si="311"/>
        <v>3563.4462209528747</v>
      </c>
      <c r="J155" s="25">
        <f t="shared" si="311"/>
        <v>3524.3792184863032</v>
      </c>
      <c r="K155" s="25">
        <f t="shared" si="311"/>
        <v>3485.8635648448649</v>
      </c>
      <c r="L155" s="25">
        <f t="shared" si="311"/>
        <v>3447.8204959106838</v>
      </c>
      <c r="M155" s="25">
        <f t="shared" si="311"/>
        <v>3410.0924834480074</v>
      </c>
      <c r="N155" s="25">
        <f t="shared" si="311"/>
        <v>3372.5219992210818</v>
      </c>
      <c r="O155" s="25">
        <f t="shared" si="311"/>
        <v>3334.6364585226524</v>
      </c>
      <c r="P155" s="25">
        <f t="shared" si="311"/>
        <v>3296.5933895884718</v>
      </c>
      <c r="Q155" s="25">
        <f t="shared" si="311"/>
        <v>3258.3140283006614</v>
      </c>
      <c r="R155" s="25">
        <f t="shared" si="311"/>
        <v>3219.640846423471</v>
      </c>
      <c r="S155" s="25">
        <f t="shared" si="311"/>
        <v>3181.9128339607937</v>
      </c>
      <c r="T155" s="25">
        <f t="shared" ref="T155:V155" si="312">T209*T129/1000*365</f>
        <v>3144.6269214068589</v>
      </c>
      <c r="U155" s="25">
        <f t="shared" si="312"/>
        <v>3107.7779281990915</v>
      </c>
      <c r="V155" s="25">
        <f t="shared" si="312"/>
        <v>3071.360734481173</v>
      </c>
    </row>
    <row r="156" spans="1:22" x14ac:dyDescent="0.25">
      <c r="A156" s="21" t="s">
        <v>150</v>
      </c>
      <c r="B156" s="46">
        <f t="shared" ref="B156:D159" si="313">B210*B130/1000*365</f>
        <v>463.51327637805099</v>
      </c>
      <c r="C156" s="46">
        <f t="shared" si="313"/>
        <v>724.14375822268778</v>
      </c>
      <c r="D156" s="46">
        <f t="shared" si="313"/>
        <v>717.03700625428553</v>
      </c>
      <c r="E156" s="43">
        <v>450</v>
      </c>
      <c r="F156" s="79">
        <v>468</v>
      </c>
      <c r="G156" s="79">
        <v>419</v>
      </c>
      <c r="H156" s="25">
        <f t="shared" ref="H156:S156" si="314">H210*H130/1000*365</f>
        <v>581.38499999999999</v>
      </c>
      <c r="I156" s="25">
        <f t="shared" si="314"/>
        <v>575.19342583480943</v>
      </c>
      <c r="J156" s="25">
        <f t="shared" si="314"/>
        <v>568.88742832775699</v>
      </c>
      <c r="K156" s="25">
        <f t="shared" si="314"/>
        <v>562.67042675326365</v>
      </c>
      <c r="L156" s="25">
        <f t="shared" si="314"/>
        <v>556.52970740667831</v>
      </c>
      <c r="M156" s="25">
        <f t="shared" si="314"/>
        <v>550.43984287869841</v>
      </c>
      <c r="N156" s="25">
        <f t="shared" si="314"/>
        <v>544.37540576002095</v>
      </c>
      <c r="O156" s="25">
        <f t="shared" si="314"/>
        <v>538.26011382273828</v>
      </c>
      <c r="P156" s="25">
        <f t="shared" si="314"/>
        <v>532.11939447615282</v>
      </c>
      <c r="Q156" s="25">
        <f t="shared" si="314"/>
        <v>525.94053401561348</v>
      </c>
      <c r="R156" s="25">
        <f t="shared" si="314"/>
        <v>519.69810503181782</v>
      </c>
      <c r="S156" s="25">
        <f t="shared" si="314"/>
        <v>513.60824050383769</v>
      </c>
      <c r="T156" s="25">
        <f t="shared" ref="T156:V156" si="315">T210*T130/1000*365</f>
        <v>507.58973750211698</v>
      </c>
      <c r="U156" s="25">
        <f t="shared" si="315"/>
        <v>501.64175980650549</v>
      </c>
      <c r="V156" s="25">
        <f t="shared" si="315"/>
        <v>495.76348099574847</v>
      </c>
    </row>
    <row r="157" spans="1:22" x14ac:dyDescent="0.25">
      <c r="A157" s="21" t="s">
        <v>151</v>
      </c>
      <c r="B157" s="46">
        <f t="shared" si="313"/>
        <v>504.71445650054432</v>
      </c>
      <c r="C157" s="46">
        <f t="shared" si="313"/>
        <v>943.42672726195201</v>
      </c>
      <c r="D157" s="46">
        <f t="shared" si="313"/>
        <v>1022.5351673696675</v>
      </c>
      <c r="E157" s="43">
        <v>490</v>
      </c>
      <c r="F157" s="79">
        <v>535</v>
      </c>
      <c r="G157" s="79">
        <v>670</v>
      </c>
      <c r="H157" s="25">
        <f t="shared" ref="H157:S157" si="316">H211*H131/1000*365</f>
        <v>647.60487804878062</v>
      </c>
      <c r="I157" s="25">
        <f t="shared" si="316"/>
        <v>640.70808223846871</v>
      </c>
      <c r="J157" s="25">
        <f t="shared" si="316"/>
        <v>633.68383024275056</v>
      </c>
      <c r="K157" s="25">
        <f t="shared" si="316"/>
        <v>626.75871083568165</v>
      </c>
      <c r="L157" s="25">
        <f t="shared" si="316"/>
        <v>619.91856221888349</v>
      </c>
      <c r="M157" s="25">
        <f t="shared" si="316"/>
        <v>613.13506079559932</v>
      </c>
      <c r="N157" s="25">
        <f t="shared" si="316"/>
        <v>606.3798829690719</v>
      </c>
      <c r="O157" s="25">
        <f t="shared" si="316"/>
        <v>599.5680579490305</v>
      </c>
      <c r="P157" s="25">
        <f t="shared" si="316"/>
        <v>592.72790933223257</v>
      </c>
      <c r="Q157" s="25">
        <f t="shared" si="316"/>
        <v>585.84527532029892</v>
      </c>
      <c r="R157" s="25">
        <f t="shared" si="316"/>
        <v>578.89183231647326</v>
      </c>
      <c r="S157" s="25">
        <f t="shared" si="316"/>
        <v>572.10833089318896</v>
      </c>
      <c r="T157" s="25">
        <f t="shared" ref="T157:V157" si="317">T211*T131/1000*365</f>
        <v>565.40431908953815</v>
      </c>
      <c r="U157" s="25">
        <f t="shared" si="317"/>
        <v>558.77886543971329</v>
      </c>
      <c r="V157" s="25">
        <f t="shared" si="317"/>
        <v>552.23104939289908</v>
      </c>
    </row>
    <row r="158" spans="1:22" x14ac:dyDescent="0.25">
      <c r="A158" s="21" t="s">
        <v>140</v>
      </c>
      <c r="B158" s="46">
        <f t="shared" si="313"/>
        <v>679.81947202114145</v>
      </c>
      <c r="C158" s="46">
        <f t="shared" si="313"/>
        <v>618.75194364567699</v>
      </c>
      <c r="D158" s="46">
        <f t="shared" si="313"/>
        <v>612.67950769145534</v>
      </c>
      <c r="E158" s="43">
        <v>660</v>
      </c>
      <c r="F158" s="79">
        <v>734</v>
      </c>
      <c r="G158" s="79">
        <v>636</v>
      </c>
      <c r="H158" s="25">
        <f t="shared" ref="H158:S158" si="318">H212*H132/1000*365</f>
        <v>586.39607944956538</v>
      </c>
      <c r="I158" s="25">
        <f t="shared" si="318"/>
        <v>580.1511388059489</v>
      </c>
      <c r="J158" s="25">
        <f t="shared" si="318"/>
        <v>573.79078858164962</v>
      </c>
      <c r="K158" s="25">
        <f t="shared" si="318"/>
        <v>567.52020136454792</v>
      </c>
      <c r="L158" s="25">
        <f t="shared" si="318"/>
        <v>561.32655386790145</v>
      </c>
      <c r="M158" s="25">
        <f t="shared" si="318"/>
        <v>555.18419951822534</v>
      </c>
      <c r="N158" s="25">
        <f t="shared" si="318"/>
        <v>549.06749174203435</v>
      </c>
      <c r="O158" s="25">
        <f t="shared" si="318"/>
        <v>542.89949081887301</v>
      </c>
      <c r="P158" s="25">
        <f t="shared" si="318"/>
        <v>536.70584332222654</v>
      </c>
      <c r="Q158" s="25">
        <f t="shared" si="318"/>
        <v>530.47372596535263</v>
      </c>
      <c r="R158" s="25">
        <f t="shared" si="318"/>
        <v>524.17749217476603</v>
      </c>
      <c r="S158" s="25">
        <f t="shared" si="318"/>
        <v>518.03513782508992</v>
      </c>
      <c r="T158" s="25">
        <f t="shared" ref="T158:V158" si="319">T212*T132/1000*365</f>
        <v>511.96476008165916</v>
      </c>
      <c r="U158" s="25">
        <f t="shared" si="319"/>
        <v>505.96551551676663</v>
      </c>
      <c r="V158" s="25">
        <f t="shared" si="319"/>
        <v>500.03657058605904</v>
      </c>
    </row>
    <row r="159" spans="1:22" x14ac:dyDescent="0.25">
      <c r="A159" s="21" t="s">
        <v>141</v>
      </c>
      <c r="B159" s="46">
        <f t="shared" si="313"/>
        <v>432.61239128618092</v>
      </c>
      <c r="C159" s="46">
        <f t="shared" si="313"/>
        <v>397.76910662936365</v>
      </c>
      <c r="D159" s="46">
        <f t="shared" si="313"/>
        <v>393.86539780164975</v>
      </c>
      <c r="E159" s="43">
        <v>420</v>
      </c>
      <c r="F159" s="79">
        <v>500</v>
      </c>
      <c r="G159" s="79">
        <v>484</v>
      </c>
      <c r="H159" s="25">
        <f t="shared" ref="H159:S159" si="320">H213*H133/1000*365</f>
        <v>518.70328118914699</v>
      </c>
      <c r="I159" s="25">
        <f t="shared" si="320"/>
        <v>513.17924834480061</v>
      </c>
      <c r="J159" s="25">
        <f t="shared" si="320"/>
        <v>507.55312865117475</v>
      </c>
      <c r="K159" s="25">
        <f t="shared" si="320"/>
        <v>502.00640984032185</v>
      </c>
      <c r="L159" s="25">
        <f t="shared" si="320"/>
        <v>496.52774892898867</v>
      </c>
      <c r="M159" s="25">
        <f t="shared" si="320"/>
        <v>491.09445995066852</v>
      </c>
      <c r="N159" s="25">
        <f t="shared" si="320"/>
        <v>485.68385693885483</v>
      </c>
      <c r="O159" s="25">
        <f t="shared" si="320"/>
        <v>480.22788199402811</v>
      </c>
      <c r="P159" s="25">
        <f t="shared" si="320"/>
        <v>474.74922108269493</v>
      </c>
      <c r="Q159" s="25">
        <f t="shared" si="320"/>
        <v>469.23653122160181</v>
      </c>
      <c r="R159" s="25">
        <f t="shared" si="320"/>
        <v>463.66712644424246</v>
      </c>
      <c r="S159" s="25">
        <f t="shared" si="320"/>
        <v>458.23383746592225</v>
      </c>
      <c r="T159" s="25">
        <f t="shared" ref="T159:V159" si="321">T213*T133/1000*365</f>
        <v>452.86421620834034</v>
      </c>
      <c r="U159" s="25">
        <f t="shared" si="321"/>
        <v>447.55751660798319</v>
      </c>
      <c r="V159" s="25">
        <f t="shared" si="321"/>
        <v>442.31300134377057</v>
      </c>
    </row>
    <row r="160" spans="1:22" hidden="1" x14ac:dyDescent="0.25">
      <c r="A160" s="32"/>
      <c r="B160" s="67"/>
      <c r="C160" s="67"/>
      <c r="D160" s="67"/>
      <c r="E160" s="69" t="s">
        <v>247</v>
      </c>
      <c r="F160" s="68">
        <f>SUM(F137:F159)</f>
        <v>77931</v>
      </c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</row>
    <row r="161" spans="1:22" hidden="1" x14ac:dyDescent="0.25">
      <c r="E161" s="39" t="s">
        <v>248</v>
      </c>
      <c r="F161" s="16">
        <v>58153</v>
      </c>
      <c r="G161" s="16">
        <f>F161-F160</f>
        <v>-19778</v>
      </c>
    </row>
    <row r="162" spans="1:22" x14ac:dyDescent="0.25">
      <c r="E162" s="39"/>
      <c r="F162" s="16"/>
      <c r="G162" s="16"/>
    </row>
    <row r="163" spans="1:22" x14ac:dyDescent="0.25">
      <c r="A163" s="27" t="s">
        <v>157</v>
      </c>
    </row>
    <row r="164" spans="1:22" x14ac:dyDescent="0.25">
      <c r="A164" s="26" t="s">
        <v>88</v>
      </c>
      <c r="B164" s="26">
        <v>2012</v>
      </c>
      <c r="C164" s="26">
        <f>B164+1</f>
        <v>2013</v>
      </c>
      <c r="D164" s="26">
        <f t="shared" ref="D164:S164" si="322">C164+1</f>
        <v>2014</v>
      </c>
      <c r="E164" s="26">
        <f t="shared" si="322"/>
        <v>2015</v>
      </c>
      <c r="F164" s="26">
        <f t="shared" si="322"/>
        <v>2016</v>
      </c>
      <c r="G164" s="26">
        <f t="shared" si="322"/>
        <v>2017</v>
      </c>
      <c r="H164" s="26">
        <f t="shared" si="322"/>
        <v>2018</v>
      </c>
      <c r="I164" s="26">
        <f t="shared" si="322"/>
        <v>2019</v>
      </c>
      <c r="J164" s="26">
        <f t="shared" si="322"/>
        <v>2020</v>
      </c>
      <c r="K164" s="26">
        <f t="shared" si="322"/>
        <v>2021</v>
      </c>
      <c r="L164" s="26">
        <f t="shared" si="322"/>
        <v>2022</v>
      </c>
      <c r="M164" s="26">
        <f t="shared" si="322"/>
        <v>2023</v>
      </c>
      <c r="N164" s="26">
        <f t="shared" si="322"/>
        <v>2024</v>
      </c>
      <c r="O164" s="26">
        <f t="shared" si="322"/>
        <v>2025</v>
      </c>
      <c r="P164" s="26">
        <f t="shared" si="322"/>
        <v>2026</v>
      </c>
      <c r="Q164" s="26">
        <f t="shared" si="322"/>
        <v>2027</v>
      </c>
      <c r="R164" s="26">
        <f t="shared" si="322"/>
        <v>2028</v>
      </c>
      <c r="S164" s="26">
        <f t="shared" si="322"/>
        <v>2029</v>
      </c>
      <c r="T164" s="26">
        <f t="shared" ref="T164" si="323">S164+1</f>
        <v>2030</v>
      </c>
      <c r="U164" s="26">
        <f t="shared" ref="U164" si="324">T164+1</f>
        <v>2031</v>
      </c>
      <c r="V164" s="26">
        <f t="shared" ref="V164" si="325">U164+1</f>
        <v>2032</v>
      </c>
    </row>
    <row r="165" spans="1:22" x14ac:dyDescent="0.25">
      <c r="A165" s="21" t="s">
        <v>123</v>
      </c>
      <c r="B165" s="30">
        <f>B137/B111*1000/365/B3</f>
        <v>0.52001396010631151</v>
      </c>
      <c r="C165" s="30">
        <f>B165</f>
        <v>0.52001396010631151</v>
      </c>
      <c r="D165" s="30">
        <f t="shared" ref="D165:S174" si="326">C165</f>
        <v>0.52001396010631151</v>
      </c>
      <c r="E165" s="30">
        <v>0.63</v>
      </c>
      <c r="F165" s="80">
        <v>0.6</v>
      </c>
      <c r="G165" s="80">
        <v>0.6</v>
      </c>
      <c r="H165" s="102">
        <v>0.6</v>
      </c>
      <c r="I165" s="102">
        <f>H165+2%</f>
        <v>0.62</v>
      </c>
      <c r="J165" s="113">
        <f t="shared" si="326"/>
        <v>0.62</v>
      </c>
      <c r="K165" s="113">
        <f t="shared" si="326"/>
        <v>0.62</v>
      </c>
      <c r="L165" s="113">
        <f t="shared" si="326"/>
        <v>0.62</v>
      </c>
      <c r="M165" s="113">
        <f t="shared" si="326"/>
        <v>0.62</v>
      </c>
      <c r="N165" s="113">
        <f t="shared" si="326"/>
        <v>0.62</v>
      </c>
      <c r="O165" s="113">
        <f t="shared" si="326"/>
        <v>0.62</v>
      </c>
      <c r="P165" s="113">
        <f t="shared" si="326"/>
        <v>0.62</v>
      </c>
      <c r="Q165" s="113">
        <f t="shared" si="326"/>
        <v>0.62</v>
      </c>
      <c r="R165" s="113">
        <f t="shared" si="326"/>
        <v>0.62</v>
      </c>
      <c r="S165" s="113">
        <f t="shared" si="326"/>
        <v>0.62</v>
      </c>
      <c r="T165" s="113">
        <f t="shared" ref="T165:T177" si="327">S165</f>
        <v>0.62</v>
      </c>
      <c r="U165" s="113">
        <f t="shared" ref="U165:U177" si="328">T165</f>
        <v>0.62</v>
      </c>
      <c r="V165" s="113">
        <f t="shared" ref="V165:V177" si="329">U165</f>
        <v>0.62</v>
      </c>
    </row>
    <row r="166" spans="1:22" x14ac:dyDescent="0.25">
      <c r="A166" s="21" t="s">
        <v>124</v>
      </c>
      <c r="B166" s="30">
        <f>B138/B112*1000/365/B4</f>
        <v>0.47200520833333331</v>
      </c>
      <c r="C166" s="30">
        <f>B166</f>
        <v>0.47200520833333331</v>
      </c>
      <c r="D166" s="30">
        <f t="shared" si="326"/>
        <v>0.47200520833333331</v>
      </c>
      <c r="E166" s="30">
        <f t="shared" si="326"/>
        <v>0.47200520833333331</v>
      </c>
      <c r="F166" s="80">
        <f t="shared" si="326"/>
        <v>0.47200520833333331</v>
      </c>
      <c r="G166" s="80">
        <f t="shared" si="326"/>
        <v>0.47200520833333331</v>
      </c>
      <c r="H166" s="30">
        <f t="shared" si="326"/>
        <v>0.47200520833333331</v>
      </c>
      <c r="I166" s="30">
        <f t="shared" si="326"/>
        <v>0.47200520833333331</v>
      </c>
      <c r="J166" s="113">
        <f t="shared" si="326"/>
        <v>0.47200520833333331</v>
      </c>
      <c r="K166" s="113">
        <f t="shared" si="326"/>
        <v>0.47200520833333331</v>
      </c>
      <c r="L166" s="113">
        <f t="shared" si="326"/>
        <v>0.47200520833333331</v>
      </c>
      <c r="M166" s="113">
        <f t="shared" si="326"/>
        <v>0.47200520833333331</v>
      </c>
      <c r="N166" s="113">
        <f t="shared" si="326"/>
        <v>0.47200520833333331</v>
      </c>
      <c r="O166" s="113">
        <f t="shared" si="326"/>
        <v>0.47200520833333331</v>
      </c>
      <c r="P166" s="113">
        <f t="shared" si="326"/>
        <v>0.47200520833333331</v>
      </c>
      <c r="Q166" s="113">
        <f t="shared" si="326"/>
        <v>0.47200520833333331</v>
      </c>
      <c r="R166" s="113">
        <f t="shared" si="326"/>
        <v>0.47200520833333331</v>
      </c>
      <c r="S166" s="113">
        <f t="shared" si="326"/>
        <v>0.47200520833333331</v>
      </c>
      <c r="T166" s="113">
        <f t="shared" si="327"/>
        <v>0.47200520833333331</v>
      </c>
      <c r="U166" s="113">
        <f t="shared" si="328"/>
        <v>0.47200520833333331</v>
      </c>
      <c r="V166" s="113">
        <f t="shared" si="329"/>
        <v>0.47200520833333331</v>
      </c>
    </row>
    <row r="167" spans="1:22" x14ac:dyDescent="0.25">
      <c r="A167" s="21" t="s">
        <v>125</v>
      </c>
      <c r="B167" s="30">
        <f>B139/B113*1000/365/B5</f>
        <v>0.71672774675947548</v>
      </c>
      <c r="C167" s="30">
        <f>B167</f>
        <v>0.71672774675947548</v>
      </c>
      <c r="D167" s="30">
        <f t="shared" si="326"/>
        <v>0.71672774675947548</v>
      </c>
      <c r="E167" s="30">
        <f t="shared" si="326"/>
        <v>0.71672774675947548</v>
      </c>
      <c r="F167" s="80">
        <f>F193/F5</f>
        <v>0.83889048473967687</v>
      </c>
      <c r="G167" s="80">
        <f>G193/G5</f>
        <v>0.91031864754098357</v>
      </c>
      <c r="H167" s="30">
        <f t="shared" si="326"/>
        <v>0.91031864754098357</v>
      </c>
      <c r="I167" s="30">
        <f t="shared" si="326"/>
        <v>0.91031864754098357</v>
      </c>
      <c r="J167" s="113">
        <f t="shared" si="326"/>
        <v>0.91031864754098357</v>
      </c>
      <c r="K167" s="113">
        <f t="shared" si="326"/>
        <v>0.91031864754098357</v>
      </c>
      <c r="L167" s="113">
        <f t="shared" si="326"/>
        <v>0.91031864754098357</v>
      </c>
      <c r="M167" s="113">
        <f t="shared" si="326"/>
        <v>0.91031864754098357</v>
      </c>
      <c r="N167" s="113">
        <f t="shared" si="326"/>
        <v>0.91031864754098357</v>
      </c>
      <c r="O167" s="113">
        <f t="shared" si="326"/>
        <v>0.91031864754098357</v>
      </c>
      <c r="P167" s="113">
        <f t="shared" si="326"/>
        <v>0.91031864754098357</v>
      </c>
      <c r="Q167" s="113">
        <f t="shared" si="326"/>
        <v>0.91031864754098357</v>
      </c>
      <c r="R167" s="113">
        <f t="shared" si="326"/>
        <v>0.91031864754098357</v>
      </c>
      <c r="S167" s="113">
        <f t="shared" si="326"/>
        <v>0.91031864754098357</v>
      </c>
      <c r="T167" s="113">
        <f t="shared" si="327"/>
        <v>0.91031864754098357</v>
      </c>
      <c r="U167" s="113">
        <f t="shared" si="328"/>
        <v>0.91031864754098357</v>
      </c>
      <c r="V167" s="113">
        <f t="shared" si="329"/>
        <v>0.91031864754098357</v>
      </c>
    </row>
    <row r="168" spans="1:22" x14ac:dyDescent="0.25">
      <c r="A168" s="21" t="s">
        <v>126</v>
      </c>
      <c r="B168" s="30">
        <f>B140/B114*1000/365/B6</f>
        <v>0.95311667554608415</v>
      </c>
      <c r="C168" s="30">
        <f>B168</f>
        <v>0.95311667554608415</v>
      </c>
      <c r="D168" s="30">
        <f t="shared" si="326"/>
        <v>0.95311667554608415</v>
      </c>
      <c r="E168" s="30">
        <f t="shared" si="326"/>
        <v>0.95311667554608415</v>
      </c>
      <c r="F168" s="80">
        <f t="shared" si="326"/>
        <v>0.95311667554608415</v>
      </c>
      <c r="G168" s="80">
        <f t="shared" si="326"/>
        <v>0.95311667554608415</v>
      </c>
      <c r="H168" s="30">
        <f t="shared" si="326"/>
        <v>0.95311667554608415</v>
      </c>
      <c r="I168" s="30">
        <f t="shared" si="326"/>
        <v>0.95311667554608415</v>
      </c>
      <c r="J168" s="113">
        <f t="shared" si="326"/>
        <v>0.95311667554608415</v>
      </c>
      <c r="K168" s="113">
        <f t="shared" si="326"/>
        <v>0.95311667554608415</v>
      </c>
      <c r="L168" s="113">
        <f t="shared" si="326"/>
        <v>0.95311667554608415</v>
      </c>
      <c r="M168" s="113">
        <f t="shared" si="326"/>
        <v>0.95311667554608415</v>
      </c>
      <c r="N168" s="113">
        <f t="shared" si="326"/>
        <v>0.95311667554608415</v>
      </c>
      <c r="O168" s="113">
        <f t="shared" si="326"/>
        <v>0.95311667554608415</v>
      </c>
      <c r="P168" s="113">
        <f t="shared" si="326"/>
        <v>0.95311667554608415</v>
      </c>
      <c r="Q168" s="113">
        <f t="shared" si="326"/>
        <v>0.95311667554608415</v>
      </c>
      <c r="R168" s="113">
        <f t="shared" si="326"/>
        <v>0.95311667554608415</v>
      </c>
      <c r="S168" s="113">
        <f t="shared" si="326"/>
        <v>0.95311667554608415</v>
      </c>
      <c r="T168" s="113">
        <f t="shared" si="327"/>
        <v>0.95311667554608415</v>
      </c>
      <c r="U168" s="113">
        <f t="shared" si="328"/>
        <v>0.95311667554608415</v>
      </c>
      <c r="V168" s="113">
        <f t="shared" si="329"/>
        <v>0.95311667554608415</v>
      </c>
    </row>
    <row r="169" spans="1:22" x14ac:dyDescent="0.25">
      <c r="A169" s="21" t="s">
        <v>314</v>
      </c>
      <c r="B169" s="30"/>
      <c r="C169" s="30"/>
      <c r="D169" s="30"/>
      <c r="E169" s="30"/>
      <c r="F169" s="80">
        <v>0</v>
      </c>
      <c r="G169" s="80">
        <v>0</v>
      </c>
      <c r="H169" s="30">
        <v>0</v>
      </c>
      <c r="I169" s="30">
        <v>0</v>
      </c>
      <c r="J169" s="113">
        <v>0</v>
      </c>
      <c r="K169" s="113">
        <v>0</v>
      </c>
      <c r="L169" s="113">
        <v>0</v>
      </c>
      <c r="M169" s="113">
        <v>0.3</v>
      </c>
      <c r="N169" s="113">
        <v>0.6</v>
      </c>
      <c r="O169" s="113">
        <v>0.9</v>
      </c>
      <c r="P169" s="113">
        <f>O169</f>
        <v>0.9</v>
      </c>
      <c r="Q169" s="113">
        <f t="shared" si="326"/>
        <v>0.9</v>
      </c>
      <c r="R169" s="113">
        <f t="shared" si="326"/>
        <v>0.9</v>
      </c>
      <c r="S169" s="113">
        <f t="shared" si="326"/>
        <v>0.9</v>
      </c>
      <c r="T169" s="113">
        <f t="shared" si="327"/>
        <v>0.9</v>
      </c>
      <c r="U169" s="113">
        <f t="shared" si="328"/>
        <v>0.9</v>
      </c>
      <c r="V169" s="113">
        <f t="shared" si="329"/>
        <v>0.9</v>
      </c>
    </row>
    <row r="170" spans="1:22" x14ac:dyDescent="0.25">
      <c r="A170" s="21" t="s">
        <v>127</v>
      </c>
      <c r="B170" s="30">
        <f>B142/B116*1000/365/B8</f>
        <v>0.95853658536585384</v>
      </c>
      <c r="C170" s="30">
        <f>B170</f>
        <v>0.95853658536585384</v>
      </c>
      <c r="D170" s="30">
        <f t="shared" si="326"/>
        <v>0.95853658536585384</v>
      </c>
      <c r="E170" s="30">
        <f t="shared" si="326"/>
        <v>0.95853658536585384</v>
      </c>
      <c r="F170" s="80">
        <v>0.94</v>
      </c>
      <c r="G170" s="80">
        <f t="shared" si="326"/>
        <v>0.94</v>
      </c>
      <c r="H170" s="63">
        <f t="shared" si="326"/>
        <v>0.94</v>
      </c>
      <c r="I170" s="102">
        <f>H170+6%</f>
        <v>1</v>
      </c>
      <c r="J170" s="113">
        <f t="shared" si="326"/>
        <v>1</v>
      </c>
      <c r="K170" s="113">
        <f t="shared" si="326"/>
        <v>1</v>
      </c>
      <c r="L170" s="113">
        <f t="shared" si="326"/>
        <v>1</v>
      </c>
      <c r="M170" s="113">
        <f t="shared" si="326"/>
        <v>1</v>
      </c>
      <c r="N170" s="113">
        <f t="shared" si="326"/>
        <v>1</v>
      </c>
      <c r="O170" s="113">
        <f t="shared" si="326"/>
        <v>1</v>
      </c>
      <c r="P170" s="113">
        <f t="shared" si="326"/>
        <v>1</v>
      </c>
      <c r="Q170" s="113">
        <f t="shared" si="326"/>
        <v>1</v>
      </c>
      <c r="R170" s="113">
        <f t="shared" si="326"/>
        <v>1</v>
      </c>
      <c r="S170" s="113">
        <f t="shared" si="326"/>
        <v>1</v>
      </c>
      <c r="T170" s="113">
        <f t="shared" si="327"/>
        <v>1</v>
      </c>
      <c r="U170" s="113">
        <f t="shared" si="328"/>
        <v>1</v>
      </c>
      <c r="V170" s="113">
        <f t="shared" si="329"/>
        <v>1</v>
      </c>
    </row>
    <row r="171" spans="1:22" x14ac:dyDescent="0.25">
      <c r="A171" s="21" t="s">
        <v>128</v>
      </c>
      <c r="B171" s="30">
        <v>0.23</v>
      </c>
      <c r="C171" s="30">
        <f>C143/C117*1000/365/C9</f>
        <v>0.233955223880597</v>
      </c>
      <c r="D171" s="29">
        <f>C171</f>
        <v>0.233955223880597</v>
      </c>
      <c r="E171" s="29">
        <f t="shared" ref="E171:S172" si="330">D171</f>
        <v>0.233955223880597</v>
      </c>
      <c r="F171" s="81">
        <f t="shared" si="330"/>
        <v>0.233955223880597</v>
      </c>
      <c r="G171" s="81">
        <f t="shared" si="330"/>
        <v>0.233955223880597</v>
      </c>
      <c r="H171" s="29">
        <f t="shared" si="330"/>
        <v>0.233955223880597</v>
      </c>
      <c r="I171" s="29">
        <f t="shared" si="330"/>
        <v>0.233955223880597</v>
      </c>
      <c r="J171" s="111">
        <f t="shared" si="330"/>
        <v>0.233955223880597</v>
      </c>
      <c r="K171" s="111">
        <f t="shared" si="330"/>
        <v>0.233955223880597</v>
      </c>
      <c r="L171" s="111">
        <f t="shared" si="330"/>
        <v>0.233955223880597</v>
      </c>
      <c r="M171" s="111">
        <f t="shared" si="330"/>
        <v>0.233955223880597</v>
      </c>
      <c r="N171" s="111">
        <f t="shared" si="330"/>
        <v>0.233955223880597</v>
      </c>
      <c r="O171" s="111">
        <f t="shared" si="330"/>
        <v>0.233955223880597</v>
      </c>
      <c r="P171" s="111">
        <f t="shared" si="330"/>
        <v>0.233955223880597</v>
      </c>
      <c r="Q171" s="111">
        <f t="shared" si="330"/>
        <v>0.233955223880597</v>
      </c>
      <c r="R171" s="111">
        <f t="shared" si="330"/>
        <v>0.233955223880597</v>
      </c>
      <c r="S171" s="111">
        <f t="shared" si="330"/>
        <v>0.233955223880597</v>
      </c>
      <c r="T171" s="111">
        <f t="shared" si="327"/>
        <v>0.233955223880597</v>
      </c>
      <c r="U171" s="111">
        <f t="shared" si="328"/>
        <v>0.233955223880597</v>
      </c>
      <c r="V171" s="111">
        <f t="shared" si="329"/>
        <v>0.233955223880597</v>
      </c>
    </row>
    <row r="172" spans="1:22" x14ac:dyDescent="0.25">
      <c r="A172" s="21" t="s">
        <v>129</v>
      </c>
      <c r="B172" s="30">
        <v>0.31</v>
      </c>
      <c r="C172" s="29">
        <f>B172</f>
        <v>0.31</v>
      </c>
      <c r="D172" s="30">
        <f>C172</f>
        <v>0.31</v>
      </c>
      <c r="E172" s="30">
        <f t="shared" si="330"/>
        <v>0.31</v>
      </c>
      <c r="F172" s="80">
        <f t="shared" si="330"/>
        <v>0.31</v>
      </c>
      <c r="G172" s="80">
        <f t="shared" si="330"/>
        <v>0.31</v>
      </c>
      <c r="H172" s="30">
        <f t="shared" si="330"/>
        <v>0.31</v>
      </c>
      <c r="I172" s="30">
        <f t="shared" si="330"/>
        <v>0.31</v>
      </c>
      <c r="J172" s="113">
        <f t="shared" si="330"/>
        <v>0.31</v>
      </c>
      <c r="K172" s="113">
        <f t="shared" si="330"/>
        <v>0.31</v>
      </c>
      <c r="L172" s="113">
        <f t="shared" si="330"/>
        <v>0.31</v>
      </c>
      <c r="M172" s="113">
        <f t="shared" si="330"/>
        <v>0.31</v>
      </c>
      <c r="N172" s="113">
        <f t="shared" si="330"/>
        <v>0.31</v>
      </c>
      <c r="O172" s="113">
        <f t="shared" si="330"/>
        <v>0.31</v>
      </c>
      <c r="P172" s="113">
        <f t="shared" si="330"/>
        <v>0.31</v>
      </c>
      <c r="Q172" s="113">
        <f t="shared" si="330"/>
        <v>0.31</v>
      </c>
      <c r="R172" s="113">
        <f t="shared" si="330"/>
        <v>0.31</v>
      </c>
      <c r="S172" s="113">
        <f t="shared" si="330"/>
        <v>0.31</v>
      </c>
      <c r="T172" s="113">
        <f t="shared" si="327"/>
        <v>0.31</v>
      </c>
      <c r="U172" s="113">
        <f t="shared" si="328"/>
        <v>0.31</v>
      </c>
      <c r="V172" s="113">
        <f t="shared" si="329"/>
        <v>0.31</v>
      </c>
    </row>
    <row r="173" spans="1:22" x14ac:dyDescent="0.25">
      <c r="A173" s="21" t="s">
        <v>130</v>
      </c>
      <c r="B173" s="30">
        <f>B145/B119*1000/365/B11</f>
        <v>0.41886363636363638</v>
      </c>
      <c r="C173" s="30">
        <f>B173</f>
        <v>0.41886363636363638</v>
      </c>
      <c r="D173" s="30">
        <f t="shared" si="326"/>
        <v>0.41886363636363638</v>
      </c>
      <c r="E173" s="30">
        <f t="shared" si="326"/>
        <v>0.41886363636363638</v>
      </c>
      <c r="F173" s="80">
        <v>0.27</v>
      </c>
      <c r="G173" s="80">
        <f t="shared" si="326"/>
        <v>0.27</v>
      </c>
      <c r="H173" s="30">
        <f t="shared" si="326"/>
        <v>0.27</v>
      </c>
      <c r="I173" s="30">
        <f t="shared" si="326"/>
        <v>0.27</v>
      </c>
      <c r="J173" s="113">
        <f t="shared" si="326"/>
        <v>0.27</v>
      </c>
      <c r="K173" s="113">
        <f t="shared" si="326"/>
        <v>0.27</v>
      </c>
      <c r="L173" s="113">
        <f t="shared" si="326"/>
        <v>0.27</v>
      </c>
      <c r="M173" s="113">
        <f t="shared" si="326"/>
        <v>0.27</v>
      </c>
      <c r="N173" s="113">
        <f t="shared" si="326"/>
        <v>0.27</v>
      </c>
      <c r="O173" s="113">
        <f t="shared" si="326"/>
        <v>0.27</v>
      </c>
      <c r="P173" s="113">
        <f t="shared" si="326"/>
        <v>0.27</v>
      </c>
      <c r="Q173" s="113">
        <f t="shared" si="326"/>
        <v>0.27</v>
      </c>
      <c r="R173" s="113">
        <f t="shared" si="326"/>
        <v>0.27</v>
      </c>
      <c r="S173" s="113">
        <f t="shared" si="326"/>
        <v>0.27</v>
      </c>
      <c r="T173" s="113">
        <f t="shared" si="327"/>
        <v>0.27</v>
      </c>
      <c r="U173" s="113">
        <f t="shared" si="328"/>
        <v>0.27</v>
      </c>
      <c r="V173" s="113">
        <f t="shared" si="329"/>
        <v>0.27</v>
      </c>
    </row>
    <row r="174" spans="1:22" x14ac:dyDescent="0.25">
      <c r="A174" s="21" t="s">
        <v>131</v>
      </c>
      <c r="B174" s="30">
        <f>B146/B120*1000/365/B12</f>
        <v>0.65818051060769511</v>
      </c>
      <c r="C174" s="30">
        <f>B174</f>
        <v>0.65818051060769511</v>
      </c>
      <c r="D174" s="30">
        <f t="shared" si="326"/>
        <v>0.65818051060769511</v>
      </c>
      <c r="E174" s="30">
        <f t="shared" si="326"/>
        <v>0.65818051060769511</v>
      </c>
      <c r="F174" s="80">
        <v>0.75</v>
      </c>
      <c r="G174" s="80">
        <f t="shared" si="326"/>
        <v>0.75</v>
      </c>
      <c r="H174" s="30">
        <f t="shared" si="326"/>
        <v>0.75</v>
      </c>
      <c r="I174" s="30">
        <f t="shared" si="326"/>
        <v>0.75</v>
      </c>
      <c r="J174" s="113">
        <f t="shared" si="326"/>
        <v>0.75</v>
      </c>
      <c r="K174" s="113">
        <f t="shared" si="326"/>
        <v>0.75</v>
      </c>
      <c r="L174" s="113">
        <f t="shared" si="326"/>
        <v>0.75</v>
      </c>
      <c r="M174" s="113">
        <f t="shared" si="326"/>
        <v>0.75</v>
      </c>
      <c r="N174" s="113">
        <f t="shared" si="326"/>
        <v>0.75</v>
      </c>
      <c r="O174" s="113">
        <f t="shared" si="326"/>
        <v>0.75</v>
      </c>
      <c r="P174" s="113">
        <f t="shared" si="326"/>
        <v>0.75</v>
      </c>
      <c r="Q174" s="113">
        <f t="shared" si="326"/>
        <v>0.75</v>
      </c>
      <c r="R174" s="113">
        <f t="shared" si="326"/>
        <v>0.75</v>
      </c>
      <c r="S174" s="113">
        <f t="shared" si="326"/>
        <v>0.75</v>
      </c>
      <c r="T174" s="113">
        <f t="shared" si="327"/>
        <v>0.75</v>
      </c>
      <c r="U174" s="113">
        <f t="shared" si="328"/>
        <v>0.75</v>
      </c>
      <c r="V174" s="113">
        <f t="shared" si="329"/>
        <v>0.75</v>
      </c>
    </row>
    <row r="175" spans="1:22" x14ac:dyDescent="0.25">
      <c r="A175" s="21" t="s">
        <v>132</v>
      </c>
      <c r="B175" s="30">
        <f>B147/B121*1000/365/B13</f>
        <v>0.14361059714045415</v>
      </c>
      <c r="C175" s="30">
        <f t="shared" ref="C175:S175" si="331">B175</f>
        <v>0.14361059714045415</v>
      </c>
      <c r="D175" s="30">
        <f t="shared" si="331"/>
        <v>0.14361059714045415</v>
      </c>
      <c r="E175" s="30">
        <f t="shared" si="331"/>
        <v>0.14361059714045415</v>
      </c>
      <c r="F175" s="80">
        <v>8.5999999999999993E-2</v>
      </c>
      <c r="G175" s="80">
        <f t="shared" si="331"/>
        <v>8.5999999999999993E-2</v>
      </c>
      <c r="H175" s="30">
        <f t="shared" si="331"/>
        <v>8.5999999999999993E-2</v>
      </c>
      <c r="I175" s="30">
        <f t="shared" si="331"/>
        <v>8.5999999999999993E-2</v>
      </c>
      <c r="J175" s="113">
        <f t="shared" si="331"/>
        <v>8.5999999999999993E-2</v>
      </c>
      <c r="K175" s="113">
        <f t="shared" si="331"/>
        <v>8.5999999999999993E-2</v>
      </c>
      <c r="L175" s="113">
        <f t="shared" si="331"/>
        <v>8.5999999999999993E-2</v>
      </c>
      <c r="M175" s="113">
        <f t="shared" si="331"/>
        <v>8.5999999999999993E-2</v>
      </c>
      <c r="N175" s="113">
        <f t="shared" si="331"/>
        <v>8.5999999999999993E-2</v>
      </c>
      <c r="O175" s="113">
        <f t="shared" si="331"/>
        <v>8.5999999999999993E-2</v>
      </c>
      <c r="P175" s="113">
        <f t="shared" si="331"/>
        <v>8.5999999999999993E-2</v>
      </c>
      <c r="Q175" s="113">
        <f t="shared" si="331"/>
        <v>8.5999999999999993E-2</v>
      </c>
      <c r="R175" s="113">
        <f t="shared" si="331"/>
        <v>8.5999999999999993E-2</v>
      </c>
      <c r="S175" s="113">
        <f t="shared" si="331"/>
        <v>8.5999999999999993E-2</v>
      </c>
      <c r="T175" s="113">
        <f t="shared" si="327"/>
        <v>8.5999999999999993E-2</v>
      </c>
      <c r="U175" s="113">
        <f t="shared" si="328"/>
        <v>8.5999999999999993E-2</v>
      </c>
      <c r="V175" s="113">
        <f t="shared" si="329"/>
        <v>8.5999999999999993E-2</v>
      </c>
    </row>
    <row r="176" spans="1:22" x14ac:dyDescent="0.25">
      <c r="A176" s="21" t="s">
        <v>133</v>
      </c>
      <c r="B176" s="30">
        <f>B148/B122*1000/365/B14</f>
        <v>0.72346153846153849</v>
      </c>
      <c r="C176" s="30">
        <f t="shared" ref="C176:S177" si="332">B176</f>
        <v>0.72346153846153849</v>
      </c>
      <c r="D176" s="30">
        <f t="shared" si="332"/>
        <v>0.72346153846153849</v>
      </c>
      <c r="E176" s="30">
        <f t="shared" si="332"/>
        <v>0.72346153846153849</v>
      </c>
      <c r="F176" s="80">
        <f t="shared" si="332"/>
        <v>0.72346153846153849</v>
      </c>
      <c r="G176" s="80">
        <f t="shared" si="332"/>
        <v>0.72346153846153849</v>
      </c>
      <c r="H176" s="30">
        <f t="shared" si="332"/>
        <v>0.72346153846153849</v>
      </c>
      <c r="I176" s="30">
        <f t="shared" si="332"/>
        <v>0.72346153846153849</v>
      </c>
      <c r="J176" s="113">
        <f t="shared" si="332"/>
        <v>0.72346153846153849</v>
      </c>
      <c r="K176" s="113">
        <f t="shared" si="332"/>
        <v>0.72346153846153849</v>
      </c>
      <c r="L176" s="113">
        <f t="shared" si="332"/>
        <v>0.72346153846153849</v>
      </c>
      <c r="M176" s="113">
        <f t="shared" si="332"/>
        <v>0.72346153846153849</v>
      </c>
      <c r="N176" s="113">
        <f t="shared" si="332"/>
        <v>0.72346153846153849</v>
      </c>
      <c r="O176" s="113">
        <f t="shared" si="332"/>
        <v>0.72346153846153849</v>
      </c>
      <c r="P176" s="113">
        <f t="shared" si="332"/>
        <v>0.72346153846153849</v>
      </c>
      <c r="Q176" s="113">
        <f t="shared" si="332"/>
        <v>0.72346153846153849</v>
      </c>
      <c r="R176" s="113">
        <f t="shared" si="332"/>
        <v>0.72346153846153849</v>
      </c>
      <c r="S176" s="113">
        <f t="shared" si="332"/>
        <v>0.72346153846153849</v>
      </c>
      <c r="T176" s="113">
        <f t="shared" si="327"/>
        <v>0.72346153846153849</v>
      </c>
      <c r="U176" s="113">
        <f t="shared" si="328"/>
        <v>0.72346153846153849</v>
      </c>
      <c r="V176" s="113">
        <f t="shared" si="329"/>
        <v>0.72346153846153849</v>
      </c>
    </row>
    <row r="177" spans="1:22" x14ac:dyDescent="0.25">
      <c r="A177" s="21" t="s">
        <v>134</v>
      </c>
      <c r="B177" s="30">
        <f>B149/B123*1000/365/B15</f>
        <v>0.99999999999999978</v>
      </c>
      <c r="C177" s="30">
        <f t="shared" si="332"/>
        <v>0.99999999999999978</v>
      </c>
      <c r="D177" s="30">
        <f t="shared" si="332"/>
        <v>0.99999999999999978</v>
      </c>
      <c r="E177" s="30">
        <f t="shared" si="332"/>
        <v>0.99999999999999978</v>
      </c>
      <c r="F177" s="80">
        <v>0.47</v>
      </c>
      <c r="G177" s="80">
        <f t="shared" si="332"/>
        <v>0.47</v>
      </c>
      <c r="H177" s="30">
        <f t="shared" si="332"/>
        <v>0.47</v>
      </c>
      <c r="I177" s="30">
        <f t="shared" si="332"/>
        <v>0.47</v>
      </c>
      <c r="J177" s="113">
        <f t="shared" si="332"/>
        <v>0.47</v>
      </c>
      <c r="K177" s="113">
        <f t="shared" si="332"/>
        <v>0.47</v>
      </c>
      <c r="L177" s="113">
        <f t="shared" si="332"/>
        <v>0.47</v>
      </c>
      <c r="M177" s="113">
        <f t="shared" si="332"/>
        <v>0.47</v>
      </c>
      <c r="N177" s="113">
        <f t="shared" si="332"/>
        <v>0.47</v>
      </c>
      <c r="O177" s="113">
        <f t="shared" si="332"/>
        <v>0.47</v>
      </c>
      <c r="P177" s="113">
        <f t="shared" si="332"/>
        <v>0.47</v>
      </c>
      <c r="Q177" s="113">
        <f t="shared" si="332"/>
        <v>0.47</v>
      </c>
      <c r="R177" s="113">
        <f t="shared" si="332"/>
        <v>0.47</v>
      </c>
      <c r="S177" s="113">
        <f t="shared" si="332"/>
        <v>0.47</v>
      </c>
      <c r="T177" s="113">
        <f t="shared" si="327"/>
        <v>0.47</v>
      </c>
      <c r="U177" s="113">
        <f t="shared" si="328"/>
        <v>0.47</v>
      </c>
      <c r="V177" s="113">
        <f t="shared" si="329"/>
        <v>0.47</v>
      </c>
    </row>
    <row r="178" spans="1:22" x14ac:dyDescent="0.25">
      <c r="A178" s="21" t="s">
        <v>155</v>
      </c>
      <c r="B178" s="30">
        <v>0.25</v>
      </c>
      <c r="C178" s="30">
        <v>0.25</v>
      </c>
      <c r="D178" s="30">
        <v>0.25</v>
      </c>
      <c r="E178" s="30">
        <v>0.25</v>
      </c>
      <c r="F178" s="80">
        <v>0.25</v>
      </c>
      <c r="G178" s="80">
        <v>0.25</v>
      </c>
      <c r="H178" s="30">
        <v>0.25</v>
      </c>
      <c r="I178" s="30">
        <v>0.25</v>
      </c>
      <c r="J178" s="113">
        <v>0.25</v>
      </c>
      <c r="K178" s="113">
        <v>0.25</v>
      </c>
      <c r="L178" s="113">
        <v>0.25</v>
      </c>
      <c r="M178" s="113">
        <v>0.25</v>
      </c>
      <c r="N178" s="113">
        <v>0.25</v>
      </c>
      <c r="O178" s="113">
        <v>0.25</v>
      </c>
      <c r="P178" s="113">
        <v>0.25</v>
      </c>
      <c r="Q178" s="113">
        <v>0.25</v>
      </c>
      <c r="R178" s="113">
        <v>0.25</v>
      </c>
      <c r="S178" s="113">
        <v>0.25</v>
      </c>
      <c r="T178" s="113">
        <v>0.25</v>
      </c>
      <c r="U178" s="113">
        <v>0.25</v>
      </c>
      <c r="V178" s="113">
        <v>0.25</v>
      </c>
    </row>
    <row r="179" spans="1:22" x14ac:dyDescent="0.25">
      <c r="A179" s="21" t="s">
        <v>137</v>
      </c>
      <c r="B179" s="30">
        <f>D179</f>
        <v>0.71568000000000009</v>
      </c>
      <c r="C179" s="30">
        <f>B179</f>
        <v>0.71568000000000009</v>
      </c>
      <c r="D179" s="30">
        <f>E179</f>
        <v>0.71568000000000009</v>
      </c>
      <c r="E179" s="30">
        <f>E151/E125*1000/365/E17</f>
        <v>0.71568000000000009</v>
      </c>
      <c r="F179" s="81">
        <v>0.82</v>
      </c>
      <c r="G179" s="80">
        <f t="shared" ref="G179:S184" si="333">F179</f>
        <v>0.82</v>
      </c>
      <c r="H179" s="30">
        <f t="shared" si="333"/>
        <v>0.82</v>
      </c>
      <c r="I179" s="30">
        <f t="shared" si="333"/>
        <v>0.82</v>
      </c>
      <c r="J179" s="113">
        <f t="shared" si="333"/>
        <v>0.82</v>
      </c>
      <c r="K179" s="113">
        <f t="shared" si="333"/>
        <v>0.82</v>
      </c>
      <c r="L179" s="113">
        <f t="shared" si="333"/>
        <v>0.82</v>
      </c>
      <c r="M179" s="113">
        <f t="shared" si="333"/>
        <v>0.82</v>
      </c>
      <c r="N179" s="113">
        <f t="shared" si="333"/>
        <v>0.82</v>
      </c>
      <c r="O179" s="113">
        <f t="shared" si="333"/>
        <v>0.82</v>
      </c>
      <c r="P179" s="113">
        <f t="shared" si="333"/>
        <v>0.82</v>
      </c>
      <c r="Q179" s="113">
        <f t="shared" si="333"/>
        <v>0.82</v>
      </c>
      <c r="R179" s="113">
        <f t="shared" si="333"/>
        <v>0.82</v>
      </c>
      <c r="S179" s="113">
        <f t="shared" si="333"/>
        <v>0.82</v>
      </c>
      <c r="T179" s="113">
        <f t="shared" ref="T179:T187" si="334">S179</f>
        <v>0.82</v>
      </c>
      <c r="U179" s="113">
        <f t="shared" ref="U179:U187" si="335">T179</f>
        <v>0.82</v>
      </c>
      <c r="V179" s="113">
        <f t="shared" ref="V179:V187" si="336">U179</f>
        <v>0.82</v>
      </c>
    </row>
    <row r="180" spans="1:22" x14ac:dyDescent="0.25">
      <c r="A180" s="21" t="s">
        <v>252</v>
      </c>
      <c r="B180" s="30"/>
      <c r="C180" s="30"/>
      <c r="D180" s="30"/>
      <c r="E180" s="30"/>
      <c r="F180" s="81">
        <v>0.73</v>
      </c>
      <c r="G180" s="80">
        <v>0.73</v>
      </c>
      <c r="H180" s="102">
        <v>0.73</v>
      </c>
      <c r="I180" s="102">
        <v>0.73</v>
      </c>
      <c r="J180" s="113">
        <v>0.77</v>
      </c>
      <c r="K180" s="113">
        <v>0.81</v>
      </c>
      <c r="L180" s="113">
        <v>0.86</v>
      </c>
      <c r="M180" s="113">
        <v>0.9</v>
      </c>
      <c r="N180" s="113">
        <v>0.94</v>
      </c>
      <c r="O180" s="113">
        <v>0.95</v>
      </c>
      <c r="P180" s="113">
        <f t="shared" ref="P180:P181" si="337">O180</f>
        <v>0.95</v>
      </c>
      <c r="Q180" s="113">
        <f t="shared" ref="Q180:Q181" si="338">P180</f>
        <v>0.95</v>
      </c>
      <c r="R180" s="113">
        <f t="shared" ref="R180:R181" si="339">Q180</f>
        <v>0.95</v>
      </c>
      <c r="S180" s="113">
        <f t="shared" ref="S180:S181" si="340">R180</f>
        <v>0.95</v>
      </c>
      <c r="T180" s="113">
        <f t="shared" si="334"/>
        <v>0.95</v>
      </c>
      <c r="U180" s="113">
        <f t="shared" si="335"/>
        <v>0.95</v>
      </c>
      <c r="V180" s="113">
        <f t="shared" si="336"/>
        <v>0.95</v>
      </c>
    </row>
    <row r="181" spans="1:22" x14ac:dyDescent="0.25">
      <c r="A181" s="21" t="s">
        <v>251</v>
      </c>
      <c r="B181" s="30"/>
      <c r="C181" s="30"/>
      <c r="D181" s="30"/>
      <c r="E181" s="30"/>
      <c r="F181" s="81">
        <v>0.8</v>
      </c>
      <c r="G181" s="80">
        <f t="shared" ref="G181" si="341">F181</f>
        <v>0.8</v>
      </c>
      <c r="H181" s="30">
        <f t="shared" ref="H181" si="342">G181</f>
        <v>0.8</v>
      </c>
      <c r="I181" s="30">
        <f t="shared" ref="I181" si="343">H181</f>
        <v>0.8</v>
      </c>
      <c r="J181" s="113">
        <f t="shared" ref="J181" si="344">I181</f>
        <v>0.8</v>
      </c>
      <c r="K181" s="113">
        <f t="shared" ref="K181" si="345">J181</f>
        <v>0.8</v>
      </c>
      <c r="L181" s="113">
        <f t="shared" ref="L181" si="346">K181</f>
        <v>0.8</v>
      </c>
      <c r="M181" s="113">
        <f t="shared" ref="M181" si="347">L181</f>
        <v>0.8</v>
      </c>
      <c r="N181" s="113">
        <f t="shared" ref="N181" si="348">M181</f>
        <v>0.8</v>
      </c>
      <c r="O181" s="113">
        <f t="shared" ref="O181" si="349">N181</f>
        <v>0.8</v>
      </c>
      <c r="P181" s="113">
        <f t="shared" si="337"/>
        <v>0.8</v>
      </c>
      <c r="Q181" s="113">
        <f t="shared" si="338"/>
        <v>0.8</v>
      </c>
      <c r="R181" s="113">
        <f t="shared" si="339"/>
        <v>0.8</v>
      </c>
      <c r="S181" s="113">
        <f t="shared" si="340"/>
        <v>0.8</v>
      </c>
      <c r="T181" s="113">
        <f t="shared" si="334"/>
        <v>0.8</v>
      </c>
      <c r="U181" s="113">
        <f t="shared" si="335"/>
        <v>0.8</v>
      </c>
      <c r="V181" s="113">
        <f t="shared" si="336"/>
        <v>0.8</v>
      </c>
    </row>
    <row r="182" spans="1:22" x14ac:dyDescent="0.25">
      <c r="A182" s="21" t="s">
        <v>249</v>
      </c>
      <c r="B182" s="30"/>
      <c r="C182" s="30"/>
      <c r="D182" s="30"/>
      <c r="E182" s="30"/>
      <c r="F182" s="81">
        <v>0.98</v>
      </c>
      <c r="G182" s="82">
        <f t="shared" si="333"/>
        <v>0.98</v>
      </c>
      <c r="H182" s="83">
        <f t="shared" si="333"/>
        <v>0.98</v>
      </c>
      <c r="I182" s="83">
        <f t="shared" si="333"/>
        <v>0.98</v>
      </c>
      <c r="J182" s="115">
        <f t="shared" si="333"/>
        <v>0.98</v>
      </c>
      <c r="K182" s="115">
        <f t="shared" si="333"/>
        <v>0.98</v>
      </c>
      <c r="L182" s="115">
        <f t="shared" si="333"/>
        <v>0.98</v>
      </c>
      <c r="M182" s="115">
        <f t="shared" si="333"/>
        <v>0.98</v>
      </c>
      <c r="N182" s="115">
        <f t="shared" si="333"/>
        <v>0.98</v>
      </c>
      <c r="O182" s="115">
        <f t="shared" si="333"/>
        <v>0.98</v>
      </c>
      <c r="P182" s="115">
        <f t="shared" si="333"/>
        <v>0.98</v>
      </c>
      <c r="Q182" s="115">
        <f t="shared" si="333"/>
        <v>0.98</v>
      </c>
      <c r="R182" s="115">
        <f t="shared" si="333"/>
        <v>0.98</v>
      </c>
      <c r="S182" s="115">
        <f t="shared" si="333"/>
        <v>0.98</v>
      </c>
      <c r="T182" s="115">
        <f t="shared" si="334"/>
        <v>0.98</v>
      </c>
      <c r="U182" s="115">
        <f t="shared" si="335"/>
        <v>0.98</v>
      </c>
      <c r="V182" s="115">
        <f t="shared" si="336"/>
        <v>0.98</v>
      </c>
    </row>
    <row r="183" spans="1:22" x14ac:dyDescent="0.25">
      <c r="A183" s="21" t="s">
        <v>250</v>
      </c>
      <c r="B183" s="30"/>
      <c r="C183" s="30"/>
      <c r="D183" s="30"/>
      <c r="E183" s="30"/>
      <c r="F183" s="81">
        <v>0.96</v>
      </c>
      <c r="G183" s="80">
        <f t="shared" si="333"/>
        <v>0.96</v>
      </c>
      <c r="H183" s="30">
        <f t="shared" si="333"/>
        <v>0.96</v>
      </c>
      <c r="I183" s="30">
        <f t="shared" si="333"/>
        <v>0.96</v>
      </c>
      <c r="J183" s="30">
        <f t="shared" si="333"/>
        <v>0.96</v>
      </c>
      <c r="K183" s="30">
        <f t="shared" si="333"/>
        <v>0.96</v>
      </c>
      <c r="L183" s="30">
        <f t="shared" si="333"/>
        <v>0.96</v>
      </c>
      <c r="M183" s="30">
        <f t="shared" si="333"/>
        <v>0.96</v>
      </c>
      <c r="N183" s="30">
        <f t="shared" si="333"/>
        <v>0.96</v>
      </c>
      <c r="O183" s="30">
        <f t="shared" si="333"/>
        <v>0.96</v>
      </c>
      <c r="P183" s="30">
        <f t="shared" si="333"/>
        <v>0.96</v>
      </c>
      <c r="Q183" s="30">
        <f t="shared" si="333"/>
        <v>0.96</v>
      </c>
      <c r="R183" s="30">
        <f t="shared" si="333"/>
        <v>0.96</v>
      </c>
      <c r="S183" s="30">
        <f t="shared" si="333"/>
        <v>0.96</v>
      </c>
      <c r="T183" s="30">
        <f t="shared" si="334"/>
        <v>0.96</v>
      </c>
      <c r="U183" s="30">
        <f t="shared" si="335"/>
        <v>0.96</v>
      </c>
      <c r="V183" s="30">
        <f t="shared" si="336"/>
        <v>0.96</v>
      </c>
    </row>
    <row r="184" spans="1:22" x14ac:dyDescent="0.25">
      <c r="A184" s="21" t="s">
        <v>150</v>
      </c>
      <c r="B184" s="30">
        <f>E184</f>
        <v>0.15211267605633805</v>
      </c>
      <c r="C184" s="30">
        <f t="shared" ref="C184:D185" si="350">F184</f>
        <v>0.24</v>
      </c>
      <c r="D184" s="30">
        <f t="shared" si="350"/>
        <v>0.24</v>
      </c>
      <c r="E184" s="30">
        <f>E156/E130*1000/365/E22</f>
        <v>0.15211267605633805</v>
      </c>
      <c r="F184" s="80">
        <v>0.24</v>
      </c>
      <c r="G184" s="80">
        <f t="shared" si="333"/>
        <v>0.24</v>
      </c>
      <c r="H184" s="30">
        <f t="shared" si="333"/>
        <v>0.24</v>
      </c>
      <c r="I184" s="30">
        <f t="shared" si="333"/>
        <v>0.24</v>
      </c>
      <c r="J184" s="30">
        <f t="shared" si="333"/>
        <v>0.24</v>
      </c>
      <c r="K184" s="30">
        <f t="shared" si="333"/>
        <v>0.24</v>
      </c>
      <c r="L184" s="30">
        <f t="shared" si="333"/>
        <v>0.24</v>
      </c>
      <c r="M184" s="30">
        <f t="shared" si="333"/>
        <v>0.24</v>
      </c>
      <c r="N184" s="30">
        <f t="shared" si="333"/>
        <v>0.24</v>
      </c>
      <c r="O184" s="30">
        <f t="shared" si="333"/>
        <v>0.24</v>
      </c>
      <c r="P184" s="30">
        <f t="shared" si="333"/>
        <v>0.24</v>
      </c>
      <c r="Q184" s="30">
        <f t="shared" si="333"/>
        <v>0.24</v>
      </c>
      <c r="R184" s="30">
        <f t="shared" si="333"/>
        <v>0.24</v>
      </c>
      <c r="S184" s="30">
        <f t="shared" si="333"/>
        <v>0.24</v>
      </c>
      <c r="T184" s="30">
        <f t="shared" si="334"/>
        <v>0.24</v>
      </c>
      <c r="U184" s="30">
        <f t="shared" si="335"/>
        <v>0.24</v>
      </c>
      <c r="V184" s="30">
        <f t="shared" si="336"/>
        <v>0.24</v>
      </c>
    </row>
    <row r="185" spans="1:22" x14ac:dyDescent="0.25">
      <c r="A185" s="21" t="s">
        <v>151</v>
      </c>
      <c r="B185" s="30">
        <f t="shared" ref="B185:B187" si="351">E185</f>
        <v>0.39200000000000007</v>
      </c>
      <c r="C185" s="30">
        <f t="shared" si="350"/>
        <v>0.74</v>
      </c>
      <c r="D185" s="30">
        <f t="shared" si="350"/>
        <v>0.81</v>
      </c>
      <c r="E185" s="30">
        <f>E157/E131*1000/365/E23</f>
        <v>0.39200000000000007</v>
      </c>
      <c r="F185" s="80">
        <v>0.74</v>
      </c>
      <c r="G185" s="80">
        <f>F185+7%</f>
        <v>0.81</v>
      </c>
      <c r="H185" s="30">
        <f t="shared" ref="H185:S185" si="352">G185</f>
        <v>0.81</v>
      </c>
      <c r="I185" s="30">
        <f t="shared" si="352"/>
        <v>0.81</v>
      </c>
      <c r="J185" s="30">
        <f t="shared" si="352"/>
        <v>0.81</v>
      </c>
      <c r="K185" s="30">
        <f t="shared" si="352"/>
        <v>0.81</v>
      </c>
      <c r="L185" s="30">
        <f t="shared" si="352"/>
        <v>0.81</v>
      </c>
      <c r="M185" s="30">
        <f t="shared" si="352"/>
        <v>0.81</v>
      </c>
      <c r="N185" s="30">
        <f t="shared" si="352"/>
        <v>0.81</v>
      </c>
      <c r="O185" s="30">
        <f t="shared" si="352"/>
        <v>0.81</v>
      </c>
      <c r="P185" s="30">
        <f t="shared" si="352"/>
        <v>0.81</v>
      </c>
      <c r="Q185" s="30">
        <f t="shared" si="352"/>
        <v>0.81</v>
      </c>
      <c r="R185" s="30">
        <f t="shared" si="352"/>
        <v>0.81</v>
      </c>
      <c r="S185" s="30">
        <f t="shared" si="352"/>
        <v>0.81</v>
      </c>
      <c r="T185" s="30">
        <f t="shared" si="334"/>
        <v>0.81</v>
      </c>
      <c r="U185" s="30">
        <f t="shared" si="335"/>
        <v>0.81</v>
      </c>
      <c r="V185" s="30">
        <f t="shared" si="336"/>
        <v>0.81</v>
      </c>
    </row>
    <row r="186" spans="1:22" x14ac:dyDescent="0.25">
      <c r="A186" s="21" t="s">
        <v>140</v>
      </c>
      <c r="B186" s="30">
        <f t="shared" si="351"/>
        <v>0.30461538461538462</v>
      </c>
      <c r="C186" s="30">
        <f t="shared" ref="C186:C187" si="353">F186</f>
        <v>0.28000000000000003</v>
      </c>
      <c r="D186" s="30">
        <f t="shared" ref="D186:D187" si="354">G186</f>
        <v>0.28000000000000003</v>
      </c>
      <c r="E186" s="30">
        <f>E158/E132*1000/365/E24</f>
        <v>0.30461538461538462</v>
      </c>
      <c r="F186" s="80">
        <v>0.28000000000000003</v>
      </c>
      <c r="G186" s="80">
        <f t="shared" ref="G186:S186" si="355">F186</f>
        <v>0.28000000000000003</v>
      </c>
      <c r="H186" s="30">
        <f t="shared" si="355"/>
        <v>0.28000000000000003</v>
      </c>
      <c r="I186" s="30">
        <f t="shared" si="355"/>
        <v>0.28000000000000003</v>
      </c>
      <c r="J186" s="30">
        <f t="shared" si="355"/>
        <v>0.28000000000000003</v>
      </c>
      <c r="K186" s="30">
        <f t="shared" si="355"/>
        <v>0.28000000000000003</v>
      </c>
      <c r="L186" s="30">
        <f t="shared" si="355"/>
        <v>0.28000000000000003</v>
      </c>
      <c r="M186" s="30">
        <f t="shared" si="355"/>
        <v>0.28000000000000003</v>
      </c>
      <c r="N186" s="30">
        <f t="shared" si="355"/>
        <v>0.28000000000000003</v>
      </c>
      <c r="O186" s="30">
        <f t="shared" si="355"/>
        <v>0.28000000000000003</v>
      </c>
      <c r="P186" s="30">
        <f t="shared" si="355"/>
        <v>0.28000000000000003</v>
      </c>
      <c r="Q186" s="30">
        <f t="shared" si="355"/>
        <v>0.28000000000000003</v>
      </c>
      <c r="R186" s="30">
        <f t="shared" si="355"/>
        <v>0.28000000000000003</v>
      </c>
      <c r="S186" s="30">
        <f t="shared" si="355"/>
        <v>0.28000000000000003</v>
      </c>
      <c r="T186" s="30">
        <f t="shared" si="334"/>
        <v>0.28000000000000003</v>
      </c>
      <c r="U186" s="30">
        <f t="shared" si="335"/>
        <v>0.28000000000000003</v>
      </c>
      <c r="V186" s="30">
        <f t="shared" si="336"/>
        <v>0.28000000000000003</v>
      </c>
    </row>
    <row r="187" spans="1:22" x14ac:dyDescent="0.25">
      <c r="A187" s="21" t="s">
        <v>141</v>
      </c>
      <c r="B187" s="30">
        <f t="shared" si="351"/>
        <v>0.32307692307692315</v>
      </c>
      <c r="C187" s="30">
        <f t="shared" si="353"/>
        <v>0.3</v>
      </c>
      <c r="D187" s="30">
        <f t="shared" si="354"/>
        <v>0.3</v>
      </c>
      <c r="E187" s="30">
        <f>E159/E133*1000/365/E25</f>
        <v>0.32307692307692315</v>
      </c>
      <c r="F187" s="80">
        <v>0.3</v>
      </c>
      <c r="G187" s="80">
        <f t="shared" ref="G187:S187" si="356">F187</f>
        <v>0.3</v>
      </c>
      <c r="H187" s="30">
        <f t="shared" si="356"/>
        <v>0.3</v>
      </c>
      <c r="I187" s="30">
        <f t="shared" si="356"/>
        <v>0.3</v>
      </c>
      <c r="J187" s="30">
        <f t="shared" si="356"/>
        <v>0.3</v>
      </c>
      <c r="K187" s="30">
        <f t="shared" si="356"/>
        <v>0.3</v>
      </c>
      <c r="L187" s="30">
        <f t="shared" si="356"/>
        <v>0.3</v>
      </c>
      <c r="M187" s="30">
        <f t="shared" si="356"/>
        <v>0.3</v>
      </c>
      <c r="N187" s="30">
        <f t="shared" si="356"/>
        <v>0.3</v>
      </c>
      <c r="O187" s="30">
        <f t="shared" si="356"/>
        <v>0.3</v>
      </c>
      <c r="P187" s="30">
        <f t="shared" si="356"/>
        <v>0.3</v>
      </c>
      <c r="Q187" s="30">
        <f t="shared" si="356"/>
        <v>0.3</v>
      </c>
      <c r="R187" s="30">
        <f t="shared" si="356"/>
        <v>0.3</v>
      </c>
      <c r="S187" s="30">
        <f t="shared" si="356"/>
        <v>0.3</v>
      </c>
      <c r="T187" s="30">
        <f t="shared" si="334"/>
        <v>0.3</v>
      </c>
      <c r="U187" s="30">
        <f t="shared" si="335"/>
        <v>0.3</v>
      </c>
      <c r="V187" s="30">
        <f t="shared" si="336"/>
        <v>0.3</v>
      </c>
    </row>
    <row r="189" spans="1:22" x14ac:dyDescent="0.25">
      <c r="A189" s="27" t="s">
        <v>158</v>
      </c>
    </row>
    <row r="190" spans="1:22" x14ac:dyDescent="0.25">
      <c r="A190" s="26" t="s">
        <v>88</v>
      </c>
      <c r="B190" s="26">
        <v>2012</v>
      </c>
      <c r="C190" s="26">
        <f>B190+1</f>
        <v>2013</v>
      </c>
      <c r="D190" s="26">
        <f t="shared" ref="D190:S190" si="357">C190+1</f>
        <v>2014</v>
      </c>
      <c r="E190" s="26">
        <f t="shared" si="357"/>
        <v>2015</v>
      </c>
      <c r="F190" s="26">
        <f t="shared" si="357"/>
        <v>2016</v>
      </c>
      <c r="G190" s="26">
        <f t="shared" si="357"/>
        <v>2017</v>
      </c>
      <c r="H190" s="26">
        <f t="shared" si="357"/>
        <v>2018</v>
      </c>
      <c r="I190" s="26">
        <f t="shared" si="357"/>
        <v>2019</v>
      </c>
      <c r="J190" s="26">
        <f t="shared" si="357"/>
        <v>2020</v>
      </c>
      <c r="K190" s="26">
        <f t="shared" si="357"/>
        <v>2021</v>
      </c>
      <c r="L190" s="26">
        <f t="shared" si="357"/>
        <v>2022</v>
      </c>
      <c r="M190" s="26">
        <f t="shared" si="357"/>
        <v>2023</v>
      </c>
      <c r="N190" s="26">
        <f t="shared" si="357"/>
        <v>2024</v>
      </c>
      <c r="O190" s="26">
        <f t="shared" si="357"/>
        <v>2025</v>
      </c>
      <c r="P190" s="26">
        <f t="shared" si="357"/>
        <v>2026</v>
      </c>
      <c r="Q190" s="26">
        <f t="shared" si="357"/>
        <v>2027</v>
      </c>
      <c r="R190" s="26">
        <f t="shared" si="357"/>
        <v>2028</v>
      </c>
      <c r="S190" s="26">
        <f t="shared" si="357"/>
        <v>2029</v>
      </c>
      <c r="T190" s="26">
        <f t="shared" ref="T190" si="358">S190+1</f>
        <v>2030</v>
      </c>
      <c r="U190" s="26">
        <f t="shared" ref="U190" si="359">T190+1</f>
        <v>2031</v>
      </c>
      <c r="V190" s="26">
        <f t="shared" ref="V190" si="360">U190+1</f>
        <v>2032</v>
      </c>
    </row>
    <row r="191" spans="1:22" x14ac:dyDescent="0.25">
      <c r="A191" s="21" t="s">
        <v>123</v>
      </c>
      <c r="B191" s="25">
        <f t="shared" ref="B191:S191" si="361">B165*B3</f>
        <v>100.36269430051813</v>
      </c>
      <c r="C191" s="25">
        <f t="shared" si="361"/>
        <v>99.377734108325157</v>
      </c>
      <c r="D191" s="25">
        <f t="shared" si="361"/>
        <v>98.402440322429513</v>
      </c>
      <c r="E191" s="25">
        <f t="shared" si="361"/>
        <v>118.04516243321781</v>
      </c>
      <c r="F191" s="25">
        <f t="shared" si="361"/>
        <v>115.81287148199172</v>
      </c>
      <c r="G191" s="77">
        <f t="shared" si="361"/>
        <v>114.61263530801021</v>
      </c>
      <c r="H191" s="25">
        <f t="shared" si="361"/>
        <v>113.39999999999999</v>
      </c>
      <c r="I191" s="25">
        <f t="shared" si="361"/>
        <v>115.93206849045464</v>
      </c>
      <c r="J191" s="109">
        <f t="shared" si="361"/>
        <v>114.66107459161583</v>
      </c>
      <c r="K191" s="109">
        <f t="shared" si="361"/>
        <v>113.40801810667192</v>
      </c>
      <c r="L191" s="109">
        <f t="shared" si="361"/>
        <v>112.17033654792364</v>
      </c>
      <c r="M191" s="109">
        <f t="shared" si="361"/>
        <v>110.94290493997245</v>
      </c>
      <c r="N191" s="109">
        <f t="shared" si="361"/>
        <v>109.72059830741981</v>
      </c>
      <c r="O191" s="109">
        <f t="shared" si="361"/>
        <v>108.48804172407006</v>
      </c>
      <c r="P191" s="109">
        <f t="shared" si="361"/>
        <v>107.25036016532179</v>
      </c>
      <c r="Q191" s="109">
        <f t="shared" si="361"/>
        <v>106.00499114347569</v>
      </c>
      <c r="R191" s="109">
        <f t="shared" si="361"/>
        <v>104.74680968313324</v>
      </c>
      <c r="S191" s="109">
        <f t="shared" si="361"/>
        <v>103.51937807518205</v>
      </c>
      <c r="T191" s="109">
        <f t="shared" ref="T191:V191" si="362">T165*T3</f>
        <v>102.30632961032377</v>
      </c>
      <c r="U191" s="109">
        <f t="shared" si="362"/>
        <v>101.10749574572155</v>
      </c>
      <c r="V191" s="109">
        <f t="shared" si="362"/>
        <v>99.922709913537176</v>
      </c>
    </row>
    <row r="192" spans="1:22" x14ac:dyDescent="0.25">
      <c r="A192" s="21" t="s">
        <v>124</v>
      </c>
      <c r="B192" s="25">
        <f t="shared" ref="B192:S192" si="363">B166*B4</f>
        <v>60.416666666666664</v>
      </c>
      <c r="C192" s="25">
        <f t="shared" si="363"/>
        <v>59.823737072394586</v>
      </c>
      <c r="D192" s="25">
        <f t="shared" si="363"/>
        <v>59.236626493357214</v>
      </c>
      <c r="E192" s="25">
        <f t="shared" si="363"/>
        <v>58.655277821697851</v>
      </c>
      <c r="F192" s="25">
        <f t="shared" si="363"/>
        <v>55.91760414160963</v>
      </c>
      <c r="G192" s="25">
        <f t="shared" si="363"/>
        <v>55.338097473703776</v>
      </c>
      <c r="H192" s="25">
        <f t="shared" si="363"/>
        <v>54.752604166666664</v>
      </c>
      <c r="I192" s="25">
        <f t="shared" si="363"/>
        <v>54.169505515282061</v>
      </c>
      <c r="J192" s="109">
        <f t="shared" si="363"/>
        <v>53.575630913461183</v>
      </c>
      <c r="K192" s="109">
        <f t="shared" si="363"/>
        <v>52.990137606424078</v>
      </c>
      <c r="L192" s="109">
        <f t="shared" si="363"/>
        <v>52.411828266344479</v>
      </c>
      <c r="M192" s="109">
        <f t="shared" si="363"/>
        <v>51.83830823756989</v>
      </c>
      <c r="N192" s="109">
        <f t="shared" si="363"/>
        <v>51.267182864447797</v>
      </c>
      <c r="O192" s="109">
        <f t="shared" si="363"/>
        <v>50.6912681800207</v>
      </c>
      <c r="P192" s="109">
        <f t="shared" si="363"/>
        <v>50.112958839941101</v>
      </c>
      <c r="Q192" s="109">
        <f t="shared" si="363"/>
        <v>49.531057516382745</v>
      </c>
      <c r="R192" s="109">
        <f t="shared" si="363"/>
        <v>48.943169553693131</v>
      </c>
      <c r="S192" s="109">
        <f t="shared" si="363"/>
        <v>48.369649524918536</v>
      </c>
      <c r="T192" s="109">
        <f t="shared" ref="T192:V192" si="364">T166*T4</f>
        <v>47.802850050337824</v>
      </c>
      <c r="U192" s="109">
        <f t="shared" si="364"/>
        <v>47.242692377952089</v>
      </c>
      <c r="V192" s="109">
        <f t="shared" si="364"/>
        <v>46.689098678584742</v>
      </c>
    </row>
    <row r="193" spans="1:22" x14ac:dyDescent="0.25">
      <c r="A193" s="21" t="s">
        <v>125</v>
      </c>
      <c r="B193" s="25">
        <f t="shared" ref="B193:E194" si="365">B167*B5</f>
        <v>234.36997319034847</v>
      </c>
      <c r="C193" s="25">
        <f t="shared" si="365"/>
        <v>232.06986461467989</v>
      </c>
      <c r="D193" s="25">
        <f t="shared" si="365"/>
        <v>229.79232932085219</v>
      </c>
      <c r="E193" s="25">
        <f t="shared" si="365"/>
        <v>227.5371457745176</v>
      </c>
      <c r="F193" s="25">
        <f>F139/F113/365*1000</f>
        <v>259.59221972377821</v>
      </c>
      <c r="G193" s="25">
        <f>G139/G113/365*1000</f>
        <v>278.77608295328787</v>
      </c>
      <c r="H193" s="25">
        <f t="shared" ref="H193:S193" si="366">H167*H5</f>
        <v>275.82655020491802</v>
      </c>
      <c r="I193" s="25">
        <f t="shared" si="366"/>
        <v>272.88908098517135</v>
      </c>
      <c r="J193" s="109">
        <f t="shared" si="366"/>
        <v>269.89732588662031</v>
      </c>
      <c r="K193" s="109">
        <f t="shared" si="366"/>
        <v>266.94779313825046</v>
      </c>
      <c r="L193" s="109">
        <f t="shared" si="366"/>
        <v>264.03445097575019</v>
      </c>
      <c r="M193" s="109">
        <f t="shared" si="366"/>
        <v>261.14523587049632</v>
      </c>
      <c r="N193" s="109">
        <f t="shared" si="366"/>
        <v>258.26808429386563</v>
      </c>
      <c r="O193" s="109">
        <f t="shared" si="366"/>
        <v>255.3668056599885</v>
      </c>
      <c r="P193" s="109">
        <f t="shared" si="366"/>
        <v>252.45346349748823</v>
      </c>
      <c r="Q193" s="109">
        <f t="shared" si="366"/>
        <v>249.5220260420532</v>
      </c>
      <c r="R193" s="109">
        <f t="shared" si="366"/>
        <v>246.56042976506018</v>
      </c>
      <c r="S193" s="109">
        <f t="shared" si="366"/>
        <v>243.67121465980625</v>
      </c>
      <c r="T193" s="109">
        <f t="shared" ref="T193:V193" si="367">T167*T5</f>
        <v>240.81585561139156</v>
      </c>
      <c r="U193" s="109">
        <f t="shared" si="367"/>
        <v>237.99395589179724</v>
      </c>
      <c r="V193" s="109">
        <f t="shared" si="367"/>
        <v>235.20512342189556</v>
      </c>
    </row>
    <row r="194" spans="1:22" x14ac:dyDescent="0.25">
      <c r="A194" s="21" t="s">
        <v>126</v>
      </c>
      <c r="B194" s="25">
        <f t="shared" si="365"/>
        <v>603.32285562067125</v>
      </c>
      <c r="C194" s="25">
        <f t="shared" si="365"/>
        <v>597.40184084552811</v>
      </c>
      <c r="D194" s="25">
        <f t="shared" si="365"/>
        <v>591.53893495129478</v>
      </c>
      <c r="E194" s="25">
        <f t="shared" si="365"/>
        <v>585.73356765700271</v>
      </c>
      <c r="F194" s="25">
        <f t="shared" ref="F194:S194" si="368">F168*F6</f>
        <v>538.28834229238203</v>
      </c>
      <c r="G194" s="25">
        <f t="shared" si="368"/>
        <v>532.70974699304759</v>
      </c>
      <c r="H194" s="25">
        <f t="shared" si="368"/>
        <v>527.07352157698449</v>
      </c>
      <c r="I194" s="25">
        <f t="shared" si="368"/>
        <v>521.46034820761304</v>
      </c>
      <c r="J194" s="109">
        <f t="shared" si="368"/>
        <v>515.74344062812986</v>
      </c>
      <c r="K194" s="109">
        <f t="shared" si="368"/>
        <v>510.10721521206688</v>
      </c>
      <c r="L194" s="109">
        <f t="shared" si="368"/>
        <v>504.54014593607832</v>
      </c>
      <c r="M194" s="109">
        <f t="shared" si="368"/>
        <v>499.0191807534726</v>
      </c>
      <c r="N194" s="109">
        <f t="shared" si="368"/>
        <v>493.52126761755841</v>
      </c>
      <c r="O194" s="109">
        <f t="shared" si="368"/>
        <v>487.97725038826121</v>
      </c>
      <c r="P194" s="109">
        <f t="shared" si="368"/>
        <v>482.4101811122726</v>
      </c>
      <c r="Q194" s="109">
        <f t="shared" si="368"/>
        <v>476.8085337662468</v>
      </c>
      <c r="R194" s="109">
        <f t="shared" si="368"/>
        <v>471.14925630349234</v>
      </c>
      <c r="S194" s="109">
        <f t="shared" si="368"/>
        <v>465.62829112088667</v>
      </c>
      <c r="T194" s="109">
        <f t="shared" ref="T194:V194" si="369">T168*T6</f>
        <v>460.17202105588916</v>
      </c>
      <c r="U194" s="109">
        <f t="shared" si="369"/>
        <v>454.7796880058666</v>
      </c>
      <c r="V194" s="109">
        <f t="shared" si="369"/>
        <v>449.45054275169412</v>
      </c>
    </row>
    <row r="195" spans="1:22" x14ac:dyDescent="0.25">
      <c r="A195" s="21" t="s">
        <v>314</v>
      </c>
      <c r="B195" s="25"/>
      <c r="C195" s="25"/>
      <c r="D195" s="25"/>
      <c r="E195" s="25"/>
      <c r="F195" s="25">
        <f t="shared" ref="F195:S195" si="370">F169*F7</f>
        <v>0</v>
      </c>
      <c r="G195" s="25">
        <f t="shared" si="370"/>
        <v>0</v>
      </c>
      <c r="H195" s="25">
        <f t="shared" si="370"/>
        <v>0</v>
      </c>
      <c r="I195" s="25">
        <f t="shared" si="370"/>
        <v>0</v>
      </c>
      <c r="J195" s="109">
        <f t="shared" si="370"/>
        <v>0</v>
      </c>
      <c r="K195" s="109">
        <f t="shared" si="370"/>
        <v>0</v>
      </c>
      <c r="L195" s="109">
        <f t="shared" si="370"/>
        <v>0</v>
      </c>
      <c r="M195" s="109">
        <f t="shared" si="370"/>
        <v>57.942530997835064</v>
      </c>
      <c r="N195" s="109">
        <f t="shared" si="370"/>
        <v>114.60830545168272</v>
      </c>
      <c r="O195" s="109">
        <f t="shared" si="370"/>
        <v>169.98126353080099</v>
      </c>
      <c r="P195" s="109">
        <f t="shared" si="370"/>
        <v>168.04203896870692</v>
      </c>
      <c r="Q195" s="109">
        <f t="shared" si="370"/>
        <v>166.09076953355634</v>
      </c>
      <c r="R195" s="109">
        <f t="shared" si="370"/>
        <v>164.11942530997834</v>
      </c>
      <c r="S195" s="109">
        <f t="shared" si="370"/>
        <v>162.19626057862624</v>
      </c>
      <c r="T195" s="109">
        <f t="shared" ref="T195:V195" si="371">T169*T7</f>
        <v>160.29563164751187</v>
      </c>
      <c r="U195" s="109">
        <f t="shared" si="371"/>
        <v>158.41727444030101</v>
      </c>
      <c r="V195" s="109">
        <f t="shared" si="371"/>
        <v>156.56092797512736</v>
      </c>
    </row>
    <row r="196" spans="1:22" x14ac:dyDescent="0.25">
      <c r="A196" s="21" t="s">
        <v>127</v>
      </c>
      <c r="B196" s="25">
        <f t="shared" ref="B196:E197" si="372">B170*B8</f>
        <v>193.62439024390247</v>
      </c>
      <c r="C196" s="25">
        <f t="shared" si="372"/>
        <v>191.7241591076515</v>
      </c>
      <c r="D196" s="25">
        <f t="shared" si="372"/>
        <v>189.84257685322081</v>
      </c>
      <c r="E196" s="25">
        <f t="shared" si="372"/>
        <v>187.97946046035216</v>
      </c>
      <c r="F196" s="25">
        <f t="shared" ref="F196:S196" si="373">F170*F8</f>
        <v>189.12017231953465</v>
      </c>
      <c r="G196" s="25">
        <f t="shared" si="373"/>
        <v>187.16020993242796</v>
      </c>
      <c r="H196" s="25">
        <f t="shared" si="373"/>
        <v>185.17999999999998</v>
      </c>
      <c r="I196" s="25">
        <f t="shared" si="373"/>
        <v>194.90200966563887</v>
      </c>
      <c r="J196" s="109">
        <f t="shared" si="373"/>
        <v>192.76524743598154</v>
      </c>
      <c r="K196" s="109">
        <f t="shared" si="373"/>
        <v>190.65864112488791</v>
      </c>
      <c r="L196" s="109">
        <f t="shared" si="373"/>
        <v>188.57788274399175</v>
      </c>
      <c r="M196" s="109">
        <f t="shared" si="373"/>
        <v>186.51435631656059</v>
      </c>
      <c r="N196" s="109">
        <f t="shared" si="373"/>
        <v>184.45944586586191</v>
      </c>
      <c r="O196" s="109">
        <f t="shared" si="373"/>
        <v>182.38730346169825</v>
      </c>
      <c r="P196" s="109">
        <f t="shared" si="373"/>
        <v>180.3065450808021</v>
      </c>
      <c r="Q196" s="109">
        <f t="shared" si="373"/>
        <v>178.2128627348072</v>
      </c>
      <c r="R196" s="109">
        <f t="shared" si="373"/>
        <v>176.0976404469811</v>
      </c>
      <c r="S196" s="109">
        <f t="shared" si="373"/>
        <v>174.03411401954995</v>
      </c>
      <c r="T196" s="109">
        <f t="shared" ref="T196:V196" si="374">T170*T8</f>
        <v>171.99476816209062</v>
      </c>
      <c r="U196" s="109">
        <f t="shared" si="374"/>
        <v>169.97931952472385</v>
      </c>
      <c r="V196" s="109">
        <f t="shared" si="374"/>
        <v>167.98748807788718</v>
      </c>
    </row>
    <row r="197" spans="1:22" x14ac:dyDescent="0.25">
      <c r="A197" s="21" t="s">
        <v>128</v>
      </c>
      <c r="B197" s="25">
        <f t="shared" si="372"/>
        <v>30.82</v>
      </c>
      <c r="C197" s="25">
        <f t="shared" si="372"/>
        <v>31.042330878117024</v>
      </c>
      <c r="D197" s="25">
        <f t="shared" si="372"/>
        <v>30.737681223173773</v>
      </c>
      <c r="E197" s="25">
        <f t="shared" si="372"/>
        <v>30.436021402100323</v>
      </c>
      <c r="F197" s="25">
        <f t="shared" ref="F197:S197" si="375">F171*F9</f>
        <v>27.95518584013606</v>
      </c>
      <c r="G197" s="25">
        <f t="shared" si="375"/>
        <v>27.665469983285693</v>
      </c>
      <c r="H197" s="25">
        <f t="shared" si="375"/>
        <v>27.372761194029849</v>
      </c>
      <c r="I197" s="25">
        <f t="shared" si="375"/>
        <v>27.081249577736195</v>
      </c>
      <c r="J197" s="109">
        <f t="shared" si="375"/>
        <v>26.784350683112677</v>
      </c>
      <c r="K197" s="109">
        <f t="shared" si="375"/>
        <v>26.49164189385683</v>
      </c>
      <c r="L197" s="109">
        <f t="shared" si="375"/>
        <v>26.202524623487559</v>
      </c>
      <c r="M197" s="109">
        <f t="shared" si="375"/>
        <v>25.915801699042671</v>
      </c>
      <c r="N197" s="109">
        <f t="shared" si="375"/>
        <v>25.630275947559973</v>
      </c>
      <c r="O197" s="109">
        <f t="shared" si="375"/>
        <v>25.342355850152895</v>
      </c>
      <c r="P197" s="109">
        <f t="shared" si="375"/>
        <v>25.053238579783624</v>
      </c>
      <c r="Q197" s="109">
        <f t="shared" si="375"/>
        <v>24.76232554997106</v>
      </c>
      <c r="R197" s="109">
        <f t="shared" si="375"/>
        <v>24.468419587753026</v>
      </c>
      <c r="S197" s="109">
        <f t="shared" si="375"/>
        <v>24.181696663308138</v>
      </c>
      <c r="T197" s="109">
        <f t="shared" ref="T197:V197" si="376">T171*T9</f>
        <v>23.898333581337237</v>
      </c>
      <c r="U197" s="109">
        <f t="shared" si="376"/>
        <v>23.618290970933817</v>
      </c>
      <c r="V197" s="109">
        <f t="shared" si="376"/>
        <v>23.341529922542854</v>
      </c>
    </row>
    <row r="198" spans="1:22" x14ac:dyDescent="0.25">
      <c r="A198" s="21" t="s">
        <v>243</v>
      </c>
      <c r="B198" s="25">
        <f t="shared" ref="B198:S198" si="377">B172*B10+40</f>
        <v>97.35</v>
      </c>
      <c r="C198" s="25">
        <f t="shared" si="377"/>
        <v>96.787166694099255</v>
      </c>
      <c r="D198" s="25">
        <f t="shared" si="377"/>
        <v>96.229857038246124</v>
      </c>
      <c r="E198" s="25">
        <f t="shared" si="377"/>
        <v>95.678016823299942</v>
      </c>
      <c r="F198" s="25">
        <f t="shared" si="377"/>
        <v>97.620478033632921</v>
      </c>
      <c r="G198" s="25">
        <f t="shared" si="377"/>
        <v>97.023323492750762</v>
      </c>
      <c r="H198" s="25">
        <f t="shared" si="377"/>
        <v>96.42</v>
      </c>
      <c r="I198" s="25">
        <f t="shared" si="377"/>
        <v>95.819144087996676</v>
      </c>
      <c r="J198" s="109">
        <f t="shared" si="377"/>
        <v>95.20718406262985</v>
      </c>
      <c r="K198" s="109">
        <f t="shared" si="377"/>
        <v>94.603860569879075</v>
      </c>
      <c r="L198" s="109">
        <f t="shared" si="377"/>
        <v>94.007939819370648</v>
      </c>
      <c r="M198" s="109">
        <f t="shared" si="377"/>
        <v>93.416954230357106</v>
      </c>
      <c r="N198" s="109">
        <f t="shared" si="377"/>
        <v>92.828436222091014</v>
      </c>
      <c r="O198" s="109">
        <f t="shared" si="377"/>
        <v>92.234983052330023</v>
      </c>
      <c r="P198" s="109">
        <f t="shared" si="377"/>
        <v>91.639062301821596</v>
      </c>
      <c r="Q198" s="109">
        <f t="shared" si="377"/>
        <v>91.039440180192003</v>
      </c>
      <c r="R198" s="109">
        <f t="shared" si="377"/>
        <v>90.433649106693778</v>
      </c>
      <c r="S198" s="109">
        <f t="shared" si="377"/>
        <v>89.842663517680251</v>
      </c>
      <c r="T198" s="109">
        <f t="shared" ref="T198:V198" si="378">T172*T10+40</f>
        <v>89.258603145711433</v>
      </c>
      <c r="U198" s="109">
        <f t="shared" si="378"/>
        <v>88.681386840532582</v>
      </c>
      <c r="V198" s="109">
        <f t="shared" si="378"/>
        <v>88.110934402814195</v>
      </c>
    </row>
    <row r="199" spans="1:22" x14ac:dyDescent="0.25">
      <c r="A199" s="21" t="s">
        <v>130</v>
      </c>
      <c r="B199" s="25">
        <f t="shared" ref="B199:S199" si="379">B173*B11</f>
        <v>92.15</v>
      </c>
      <c r="C199" s="25">
        <f t="shared" si="379"/>
        <v>91.245639247798536</v>
      </c>
      <c r="D199" s="25">
        <f t="shared" si="379"/>
        <v>90.35015389841989</v>
      </c>
      <c r="E199" s="25">
        <f t="shared" si="379"/>
        <v>89.463456848597929</v>
      </c>
      <c r="F199" s="25">
        <f t="shared" si="379"/>
        <v>52.667282031096242</v>
      </c>
      <c r="G199" s="25">
        <f t="shared" si="379"/>
        <v>52.121460342452281</v>
      </c>
      <c r="H199" s="25">
        <f t="shared" si="379"/>
        <v>51.57</v>
      </c>
      <c r="I199" s="25">
        <f t="shared" si="379"/>
        <v>51.020795119071053</v>
      </c>
      <c r="J199" s="109">
        <f t="shared" si="379"/>
        <v>50.461440661287149</v>
      </c>
      <c r="K199" s="109">
        <f t="shared" si="379"/>
        <v>49.909980318834876</v>
      </c>
      <c r="L199" s="109">
        <f t="shared" si="379"/>
        <v>49.365286360952574</v>
      </c>
      <c r="M199" s="109">
        <f t="shared" si="379"/>
        <v>48.825103326116917</v>
      </c>
      <c r="N199" s="109">
        <f t="shared" si="379"/>
        <v>48.287175752804572</v>
      </c>
      <c r="O199" s="109">
        <f t="shared" si="379"/>
        <v>47.744737256445589</v>
      </c>
      <c r="P199" s="109">
        <f t="shared" si="379"/>
        <v>47.200043298563287</v>
      </c>
      <c r="Q199" s="109">
        <f t="shared" si="379"/>
        <v>46.651966148395992</v>
      </c>
      <c r="R199" s="109">
        <f t="shared" si="379"/>
        <v>46.0982503444204</v>
      </c>
      <c r="S199" s="109">
        <f t="shared" si="379"/>
        <v>45.558067309584736</v>
      </c>
      <c r="T199" s="109">
        <f t="shared" ref="T199:V199" si="380">T173*T11</f>
        <v>45.024214183345258</v>
      </c>
      <c r="U199" s="109">
        <f t="shared" si="380"/>
        <v>44.496616791319859</v>
      </c>
      <c r="V199" s="109">
        <f t="shared" si="380"/>
        <v>43.975201828307846</v>
      </c>
    </row>
    <row r="200" spans="1:22" x14ac:dyDescent="0.25">
      <c r="A200" s="21" t="s">
        <v>131</v>
      </c>
      <c r="B200" s="25">
        <f t="shared" ref="B200:S200" si="381">B174*B12</f>
        <v>296.1812297734628</v>
      </c>
      <c r="C200" s="25">
        <f t="shared" si="381"/>
        <v>293.27450508821175</v>
      </c>
      <c r="D200" s="25">
        <f t="shared" si="381"/>
        <v>290.39630701959436</v>
      </c>
      <c r="E200" s="25">
        <f t="shared" si="381"/>
        <v>287.54635560719316</v>
      </c>
      <c r="F200" s="25">
        <f t="shared" si="381"/>
        <v>364.59607688775174</v>
      </c>
      <c r="G200" s="25">
        <f t="shared" si="381"/>
        <v>360.8175555992915</v>
      </c>
      <c r="H200" s="25">
        <f t="shared" si="381"/>
        <v>357</v>
      </c>
      <c r="I200" s="25">
        <f t="shared" si="381"/>
        <v>353.19805812504103</v>
      </c>
      <c r="J200" s="109">
        <f t="shared" si="381"/>
        <v>349.32585449058581</v>
      </c>
      <c r="K200" s="109">
        <f t="shared" si="381"/>
        <v>345.50829889129432</v>
      </c>
      <c r="L200" s="109">
        <f t="shared" si="381"/>
        <v>341.73758446500028</v>
      </c>
      <c r="M200" s="109">
        <f t="shared" si="381"/>
        <v>337.99809748737124</v>
      </c>
      <c r="N200" s="109">
        <f t="shared" si="381"/>
        <v>334.27422423407461</v>
      </c>
      <c r="O200" s="109">
        <f t="shared" si="381"/>
        <v>330.51912353211304</v>
      </c>
      <c r="P200" s="109">
        <f t="shared" si="381"/>
        <v>326.74840910581906</v>
      </c>
      <c r="Q200" s="109">
        <f t="shared" si="381"/>
        <v>322.95427409302624</v>
      </c>
      <c r="R200" s="109">
        <f t="shared" si="381"/>
        <v>319.12110476940234</v>
      </c>
      <c r="S200" s="109">
        <f t="shared" si="381"/>
        <v>315.38161779177324</v>
      </c>
      <c r="T200" s="109">
        <f t="shared" ref="T200:V200" si="382">T174*T12</f>
        <v>311.68595042571758</v>
      </c>
      <c r="U200" s="109">
        <f t="shared" si="382"/>
        <v>308.03358918947424</v>
      </c>
      <c r="V200" s="109">
        <f t="shared" si="382"/>
        <v>304.42402661830317</v>
      </c>
    </row>
    <row r="201" spans="1:22" x14ac:dyDescent="0.25">
      <c r="A201" s="21" t="s">
        <v>132</v>
      </c>
      <c r="B201" s="25">
        <f t="shared" ref="B201:S201" si="383">B175*B13</f>
        <v>20.823536585365851</v>
      </c>
      <c r="C201" s="25">
        <f t="shared" si="383"/>
        <v>20.619174249936265</v>
      </c>
      <c r="D201" s="25">
        <f t="shared" si="383"/>
        <v>20.416817527912983</v>
      </c>
      <c r="E201" s="25">
        <f t="shared" si="383"/>
        <v>20.216446736191838</v>
      </c>
      <c r="F201" s="25">
        <f t="shared" si="383"/>
        <v>12.735330752913903</v>
      </c>
      <c r="G201" s="25">
        <f t="shared" si="383"/>
        <v>12.603347110148921</v>
      </c>
      <c r="H201" s="25">
        <f t="shared" si="383"/>
        <v>12.469999999999999</v>
      </c>
      <c r="I201" s="25">
        <f t="shared" si="383"/>
        <v>12.337198276804653</v>
      </c>
      <c r="J201" s="109">
        <f t="shared" si="383"/>
        <v>12.201942312318222</v>
      </c>
      <c r="K201" s="109">
        <f t="shared" si="383"/>
        <v>12.068595202169302</v>
      </c>
      <c r="L201" s="109">
        <f t="shared" si="383"/>
        <v>11.936884252881104</v>
      </c>
      <c r="M201" s="109">
        <f t="shared" si="383"/>
        <v>11.806264077500057</v>
      </c>
      <c r="N201" s="109">
        <f t="shared" si="383"/>
        <v>11.67618928907258</v>
      </c>
      <c r="O201" s="109">
        <f t="shared" si="383"/>
        <v>11.545023726737956</v>
      </c>
      <c r="P201" s="109">
        <f t="shared" si="383"/>
        <v>11.413312777449759</v>
      </c>
      <c r="Q201" s="109">
        <f t="shared" si="383"/>
        <v>11.280783747731201</v>
      </c>
      <c r="R201" s="109">
        <f t="shared" si="383"/>
        <v>11.146891250628707</v>
      </c>
      <c r="S201" s="109">
        <f t="shared" si="383"/>
        <v>11.016271075247658</v>
      </c>
      <c r="T201" s="109">
        <f t="shared" ref="T201:V201" si="384">T175*T13</f>
        <v>10.887181517671426</v>
      </c>
      <c r="U201" s="109">
        <f t="shared" si="384"/>
        <v>10.759604641996484</v>
      </c>
      <c r="V201" s="109">
        <f t="shared" si="384"/>
        <v>10.633522722493677</v>
      </c>
    </row>
    <row r="202" spans="1:22" x14ac:dyDescent="0.25">
      <c r="A202" s="21" t="s">
        <v>133</v>
      </c>
      <c r="B202" s="25">
        <f t="shared" ref="B202:S202" si="385">B176*B14</f>
        <v>94.05</v>
      </c>
      <c r="C202" s="25">
        <f t="shared" si="385"/>
        <v>93.126992634351083</v>
      </c>
      <c r="D202" s="25">
        <f t="shared" si="385"/>
        <v>92.213043669521326</v>
      </c>
      <c r="E202" s="25">
        <f t="shared" si="385"/>
        <v>91.308064206300983</v>
      </c>
      <c r="F202" s="25">
        <f t="shared" si="385"/>
        <v>105.65626648297579</v>
      </c>
      <c r="G202" s="25">
        <f t="shared" si="385"/>
        <v>104.56128911631568</v>
      </c>
      <c r="H202" s="25">
        <f t="shared" si="385"/>
        <v>103.455</v>
      </c>
      <c r="I202" s="25">
        <f t="shared" si="385"/>
        <v>102.35323558354655</v>
      </c>
      <c r="J202" s="109">
        <f t="shared" si="385"/>
        <v>101.23111001771305</v>
      </c>
      <c r="K202" s="109">
        <f t="shared" si="385"/>
        <v>100.12482090139736</v>
      </c>
      <c r="L202" s="109">
        <f t="shared" si="385"/>
        <v>99.032105884668368</v>
      </c>
      <c r="M202" s="109">
        <f t="shared" si="385"/>
        <v>97.948440267663855</v>
      </c>
      <c r="N202" s="109">
        <f t="shared" si="385"/>
        <v>96.869299350521558</v>
      </c>
      <c r="O202" s="109">
        <f t="shared" si="385"/>
        <v>95.781109033654786</v>
      </c>
      <c r="P202" s="109">
        <f t="shared" si="385"/>
        <v>94.688394016925812</v>
      </c>
      <c r="Q202" s="109">
        <f t="shared" si="385"/>
        <v>93.58889195040345</v>
      </c>
      <c r="R202" s="109">
        <f t="shared" si="385"/>
        <v>92.478078134225541</v>
      </c>
      <c r="S202" s="109">
        <f t="shared" si="385"/>
        <v>91.394412517221028</v>
      </c>
      <c r="T202" s="109">
        <f t="shared" ref="T202:V202" si="386">T176*T14</f>
        <v>90.323445381772018</v>
      </c>
      <c r="U202" s="109">
        <f t="shared" si="386"/>
        <v>89.26502792604218</v>
      </c>
      <c r="V202" s="109">
        <f t="shared" si="386"/>
        <v>88.219013091867112</v>
      </c>
    </row>
    <row r="203" spans="1:22" x14ac:dyDescent="0.25">
      <c r="A203" s="21" t="s">
        <v>134</v>
      </c>
      <c r="B203" s="25">
        <f t="shared" ref="B203:S203" si="387">B177*B15</f>
        <v>71.999999999999986</v>
      </c>
      <c r="C203" s="25">
        <f t="shared" si="387"/>
        <v>71.29339149041229</v>
      </c>
      <c r="D203" s="25">
        <f t="shared" si="387"/>
        <v>70.593717641738792</v>
      </c>
      <c r="E203" s="25">
        <f t="shared" si="387"/>
        <v>69.90091039716819</v>
      </c>
      <c r="F203" s="25">
        <f t="shared" si="387"/>
        <v>37.920034551378784</v>
      </c>
      <c r="G203" s="25">
        <f t="shared" si="387"/>
        <v>37.527047169192421</v>
      </c>
      <c r="H203" s="25">
        <f t="shared" si="387"/>
        <v>37.129999999999995</v>
      </c>
      <c r="I203" s="25">
        <f t="shared" si="387"/>
        <v>36.734576745610006</v>
      </c>
      <c r="J203" s="109">
        <f t="shared" si="387"/>
        <v>36.331845874609108</v>
      </c>
      <c r="K203" s="109">
        <f t="shared" si="387"/>
        <v>35.934798705416689</v>
      </c>
      <c r="L203" s="109">
        <f t="shared" si="387"/>
        <v>35.542623280631538</v>
      </c>
      <c r="M203" s="109">
        <f t="shared" si="387"/>
        <v>35.15369568545124</v>
      </c>
      <c r="N203" s="109">
        <f t="shared" si="387"/>
        <v>34.766392005073364</v>
      </c>
      <c r="O203" s="109">
        <f t="shared" si="387"/>
        <v>34.375840495090642</v>
      </c>
      <c r="P203" s="109">
        <f t="shared" si="387"/>
        <v>33.983665070305491</v>
      </c>
      <c r="Q203" s="109">
        <f t="shared" si="387"/>
        <v>33.589053773316714</v>
      </c>
      <c r="R203" s="109">
        <f t="shared" si="387"/>
        <v>33.190382689321879</v>
      </c>
      <c r="S203" s="109">
        <f t="shared" si="387"/>
        <v>32.801455094141573</v>
      </c>
      <c r="T203" s="109">
        <f t="shared" ref="T203:V203" si="388">T177*T15</f>
        <v>32.417084984052927</v>
      </c>
      <c r="U203" s="109">
        <f t="shared" si="388"/>
        <v>32.037218954076131</v>
      </c>
      <c r="V203" s="109">
        <f t="shared" si="388"/>
        <v>31.661804225035294</v>
      </c>
    </row>
    <row r="204" spans="1:22" x14ac:dyDescent="0.25">
      <c r="A204" s="21" t="s">
        <v>155</v>
      </c>
      <c r="B204" s="25">
        <f t="shared" ref="B204:S204" si="389">B178*B16</f>
        <v>54.25</v>
      </c>
      <c r="C204" s="25">
        <f t="shared" si="389"/>
        <v>53.71759011603983</v>
      </c>
      <c r="D204" s="25">
        <f t="shared" si="389"/>
        <v>53.19040530644903</v>
      </c>
      <c r="E204" s="25">
        <f t="shared" si="389"/>
        <v>52.668394292310765</v>
      </c>
      <c r="F204" s="25">
        <f t="shared" si="389"/>
        <v>51.574515077959283</v>
      </c>
      <c r="G204" s="25">
        <f t="shared" si="389"/>
        <v>51.040018369087456</v>
      </c>
      <c r="H204" s="25">
        <f t="shared" si="389"/>
        <v>50.5</v>
      </c>
      <c r="I204" s="25">
        <f t="shared" si="389"/>
        <v>49.962190294998798</v>
      </c>
      <c r="J204" s="109">
        <f t="shared" si="389"/>
        <v>49.414441601609482</v>
      </c>
      <c r="K204" s="109">
        <f t="shared" si="389"/>
        <v>48.874423232522034</v>
      </c>
      <c r="L204" s="109">
        <f t="shared" si="389"/>
        <v>48.341030855693326</v>
      </c>
      <c r="M204" s="109">
        <f t="shared" si="389"/>
        <v>47.812055807037112</v>
      </c>
      <c r="N204" s="109">
        <f t="shared" si="389"/>
        <v>47.285289422467145</v>
      </c>
      <c r="O204" s="109">
        <f t="shared" si="389"/>
        <v>46.754105709724683</v>
      </c>
      <c r="P204" s="109">
        <f t="shared" si="389"/>
        <v>46.220713332895976</v>
      </c>
      <c r="Q204" s="109">
        <f t="shared" si="389"/>
        <v>45.684007959937894</v>
      </c>
      <c r="R204" s="109">
        <f t="shared" si="389"/>
        <v>45.141780926764199</v>
      </c>
      <c r="S204" s="109">
        <f t="shared" si="389"/>
        <v>44.612805878107984</v>
      </c>
      <c r="T204" s="109">
        <f t="shared" ref="T204:V204" si="390">T178*T16</f>
        <v>44.090029401957246</v>
      </c>
      <c r="U204" s="109">
        <f t="shared" si="390"/>
        <v>43.573378862936828</v>
      </c>
      <c r="V204" s="109">
        <f t="shared" si="390"/>
        <v>43.062782476818796</v>
      </c>
    </row>
    <row r="205" spans="1:22" x14ac:dyDescent="0.25">
      <c r="A205" s="21" t="s">
        <v>137</v>
      </c>
      <c r="B205" s="25">
        <f t="shared" ref="B205:S205" si="391">B179*B17</f>
        <v>211.12560000000002</v>
      </c>
      <c r="C205" s="25">
        <f t="shared" si="391"/>
        <v>209.05361186733603</v>
      </c>
      <c r="D205" s="25">
        <f t="shared" si="391"/>
        <v>207.00195824087072</v>
      </c>
      <c r="E205" s="25">
        <f t="shared" si="391"/>
        <v>204.97043955761634</v>
      </c>
      <c r="F205" s="25">
        <f t="shared" si="391"/>
        <v>247.88448118261931</v>
      </c>
      <c r="G205" s="25">
        <f t="shared" si="391"/>
        <v>245.31551007019613</v>
      </c>
      <c r="H205" s="25">
        <f t="shared" si="391"/>
        <v>242.72</v>
      </c>
      <c r="I205" s="25">
        <f t="shared" si="391"/>
        <v>240.13510551291301</v>
      </c>
      <c r="J205" s="109">
        <f t="shared" si="391"/>
        <v>237.50244090183472</v>
      </c>
      <c r="K205" s="109">
        <f t="shared" si="391"/>
        <v>234.90693083163856</v>
      </c>
      <c r="L205" s="109">
        <f t="shared" si="391"/>
        <v>232.34326751077</v>
      </c>
      <c r="M205" s="109">
        <f t="shared" si="391"/>
        <v>229.80083535611979</v>
      </c>
      <c r="N205" s="109">
        <f t="shared" si="391"/>
        <v>227.26901878457875</v>
      </c>
      <c r="O205" s="109">
        <f t="shared" si="391"/>
        <v>224.71597104681931</v>
      </c>
      <c r="P205" s="109">
        <f t="shared" si="391"/>
        <v>222.15230772595075</v>
      </c>
      <c r="Q205" s="109">
        <f t="shared" si="391"/>
        <v>219.57272103041834</v>
      </c>
      <c r="R205" s="109">
        <f t="shared" si="391"/>
        <v>216.96659537711301</v>
      </c>
      <c r="S205" s="109">
        <f t="shared" si="391"/>
        <v>214.42416322246279</v>
      </c>
      <c r="T205" s="109">
        <f t="shared" ref="T205:V205" si="392">T179*T17</f>
        <v>211.91152349392206</v>
      </c>
      <c r="U205" s="109">
        <f t="shared" si="392"/>
        <v>209.42832708142632</v>
      </c>
      <c r="V205" s="109">
        <f t="shared" si="392"/>
        <v>206.97422896581111</v>
      </c>
    </row>
    <row r="206" spans="1:22" x14ac:dyDescent="0.25">
      <c r="A206" s="21" t="s">
        <v>251</v>
      </c>
      <c r="B206" s="25"/>
      <c r="C206" s="25"/>
      <c r="D206" s="25"/>
      <c r="E206" s="25"/>
      <c r="F206" s="25">
        <f t="shared" ref="F206:S206" si="393">F180*F18</f>
        <v>167.74483369415469</v>
      </c>
      <c r="G206" s="25">
        <f t="shared" si="393"/>
        <v>166.00639637866561</v>
      </c>
      <c r="H206" s="25">
        <f t="shared" si="393"/>
        <v>164.25</v>
      </c>
      <c r="I206" s="25">
        <f t="shared" si="393"/>
        <v>162.500787246605</v>
      </c>
      <c r="J206" s="109">
        <f t="shared" si="393"/>
        <v>169.52578232631373</v>
      </c>
      <c r="K206" s="109">
        <f t="shared" si="393"/>
        <v>176.38343829954735</v>
      </c>
      <c r="L206" s="109">
        <f t="shared" si="393"/>
        <v>185.22751426884474</v>
      </c>
      <c r="M206" s="109">
        <f t="shared" si="393"/>
        <v>191.72160991930727</v>
      </c>
      <c r="N206" s="109">
        <f t="shared" si="393"/>
        <v>198.03641015548124</v>
      </c>
      <c r="O206" s="109">
        <f t="shared" si="393"/>
        <v>197.89485337531985</v>
      </c>
      <c r="P206" s="109">
        <f t="shared" si="393"/>
        <v>195.63717772092113</v>
      </c>
      <c r="Q206" s="109">
        <f t="shared" si="393"/>
        <v>193.36547923637085</v>
      </c>
      <c r="R206" s="109">
        <f t="shared" si="393"/>
        <v>191.07040936823466</v>
      </c>
      <c r="S206" s="109">
        <f t="shared" si="393"/>
        <v>188.83143082070464</v>
      </c>
      <c r="T206" s="109">
        <f t="shared" ref="T206:V206" si="394">T180*T18</f>
        <v>186.61868880531412</v>
      </c>
      <c r="U206" s="109">
        <f t="shared" si="394"/>
        <v>184.43187588025248</v>
      </c>
      <c r="V206" s="109">
        <f t="shared" si="394"/>
        <v>182.27068820633707</v>
      </c>
    </row>
    <row r="207" spans="1:22" x14ac:dyDescent="0.25">
      <c r="A207" s="21" t="s">
        <v>252</v>
      </c>
      <c r="B207" s="25"/>
      <c r="C207" s="25"/>
      <c r="D207" s="25"/>
      <c r="E207" s="25"/>
      <c r="F207" s="25">
        <f t="shared" ref="F207:S207" si="395">F180*F19</f>
        <v>615.80992280609678</v>
      </c>
      <c r="G207" s="25">
        <f t="shared" si="395"/>
        <v>609.42792626123469</v>
      </c>
      <c r="H207" s="25">
        <f t="shared" si="395"/>
        <v>602.98</v>
      </c>
      <c r="I207" s="25">
        <f t="shared" si="395"/>
        <v>596.55844562531433</v>
      </c>
      <c r="J207" s="109">
        <f t="shared" si="395"/>
        <v>622.34798311793395</v>
      </c>
      <c r="K207" s="109">
        <f t="shared" si="395"/>
        <v>647.52320015744931</v>
      </c>
      <c r="L207" s="109">
        <f t="shared" si="395"/>
        <v>679.99078571584766</v>
      </c>
      <c r="M207" s="109">
        <f t="shared" si="395"/>
        <v>703.83133241487906</v>
      </c>
      <c r="N207" s="109">
        <f t="shared" si="395"/>
        <v>727.01366572634436</v>
      </c>
      <c r="O207" s="109">
        <f t="shared" si="395"/>
        <v>726.49399505784072</v>
      </c>
      <c r="P207" s="109">
        <f t="shared" si="395"/>
        <v>718.20581687769243</v>
      </c>
      <c r="Q207" s="109">
        <f t="shared" si="395"/>
        <v>709.86615932996563</v>
      </c>
      <c r="R207" s="109">
        <f t="shared" si="395"/>
        <v>701.44070283627457</v>
      </c>
      <c r="S207" s="109">
        <f t="shared" si="395"/>
        <v>693.22116381289766</v>
      </c>
      <c r="T207" s="109">
        <f t="shared" ref="T207:V207" si="396">T180*T19</f>
        <v>685.09794201417526</v>
      </c>
      <c r="U207" s="109">
        <f t="shared" si="396"/>
        <v>677.06990878705994</v>
      </c>
      <c r="V207" s="109">
        <f t="shared" si="396"/>
        <v>669.13594870415272</v>
      </c>
    </row>
    <row r="208" spans="1:22" x14ac:dyDescent="0.25">
      <c r="A208" s="21" t="s">
        <v>249</v>
      </c>
      <c r="B208" s="25"/>
      <c r="C208" s="25"/>
      <c r="D208" s="25"/>
      <c r="E208" s="25"/>
      <c r="F208" s="25">
        <f t="shared" ref="F208:S208" si="397">F182*F20</f>
        <v>234.19936233024995</v>
      </c>
      <c r="G208" s="25">
        <f t="shared" si="397"/>
        <v>231.77221806730958</v>
      </c>
      <c r="H208" s="25">
        <f t="shared" si="397"/>
        <v>229.32</v>
      </c>
      <c r="I208" s="25">
        <f t="shared" si="397"/>
        <v>226.8778114544381</v>
      </c>
      <c r="J208" s="109">
        <f t="shared" si="397"/>
        <v>224.3904900610116</v>
      </c>
      <c r="K208" s="109">
        <f t="shared" si="397"/>
        <v>221.93827199370202</v>
      </c>
      <c r="L208" s="109">
        <f t="shared" si="397"/>
        <v>219.51614249163549</v>
      </c>
      <c r="M208" s="109">
        <f t="shared" si="397"/>
        <v>217.11407203306436</v>
      </c>
      <c r="N208" s="109">
        <f t="shared" si="397"/>
        <v>214.7220310962409</v>
      </c>
      <c r="O208" s="109">
        <f t="shared" si="397"/>
        <v>212.30993111592204</v>
      </c>
      <c r="P208" s="109">
        <f t="shared" si="397"/>
        <v>209.88780161385554</v>
      </c>
      <c r="Q208" s="109">
        <f t="shared" si="397"/>
        <v>207.45062782916744</v>
      </c>
      <c r="R208" s="109">
        <f t="shared" si="397"/>
        <v>204.98838024011022</v>
      </c>
      <c r="S208" s="109">
        <f t="shared" si="397"/>
        <v>202.58630978153906</v>
      </c>
      <c r="T208" s="109">
        <f t="shared" ref="T208:V208" si="398">T182*T20</f>
        <v>200.21238697934328</v>
      </c>
      <c r="U208" s="109">
        <f t="shared" si="398"/>
        <v>197.86628199700343</v>
      </c>
      <c r="V208" s="109">
        <f t="shared" si="398"/>
        <v>195.54766886305123</v>
      </c>
    </row>
    <row r="209" spans="1:22" x14ac:dyDescent="0.25">
      <c r="A209" s="21" t="s">
        <v>250</v>
      </c>
      <c r="B209" s="25"/>
      <c r="C209" s="25"/>
      <c r="D209" s="25"/>
      <c r="E209" s="25"/>
      <c r="F209" s="25">
        <f t="shared" ref="F209:S209" si="399">F183*F21</f>
        <v>204.90912287607426</v>
      </c>
      <c r="G209" s="25">
        <f t="shared" si="399"/>
        <v>202.78553040740013</v>
      </c>
      <c r="H209" s="25">
        <f t="shared" si="399"/>
        <v>200.64</v>
      </c>
      <c r="I209" s="25">
        <f t="shared" si="399"/>
        <v>198.50324476809027</v>
      </c>
      <c r="J209" s="109">
        <f t="shared" si="399"/>
        <v>196.32700124647377</v>
      </c>
      <c r="K209" s="109">
        <f t="shared" si="399"/>
        <v>194.18147083907365</v>
      </c>
      <c r="L209" s="109">
        <f t="shared" si="399"/>
        <v>192.06226595814474</v>
      </c>
      <c r="M209" s="109">
        <f t="shared" si="399"/>
        <v>189.96061142819656</v>
      </c>
      <c r="N209" s="109">
        <f t="shared" si="399"/>
        <v>187.86773207373875</v>
      </c>
      <c r="O209" s="109">
        <f t="shared" si="399"/>
        <v>185.75730236830017</v>
      </c>
      <c r="P209" s="109">
        <f t="shared" si="399"/>
        <v>183.63809748737125</v>
      </c>
      <c r="Q209" s="109">
        <f t="shared" si="399"/>
        <v>181.50572984320669</v>
      </c>
      <c r="R209" s="109">
        <f t="shared" si="399"/>
        <v>179.35142426031621</v>
      </c>
      <c r="S209" s="109">
        <f t="shared" si="399"/>
        <v>177.24976973036803</v>
      </c>
      <c r="T209" s="109">
        <f t="shared" ref="T209:V209" si="400">T183*T21</f>
        <v>175.17274255858814</v>
      </c>
      <c r="U209" s="109">
        <f t="shared" si="400"/>
        <v>173.12005415959695</v>
      </c>
      <c r="V209" s="109">
        <f t="shared" si="400"/>
        <v>171.09141932968166</v>
      </c>
    </row>
    <row r="210" spans="1:22" x14ac:dyDescent="0.25">
      <c r="A210" s="21" t="s">
        <v>150</v>
      </c>
      <c r="B210" s="25">
        <f t="shared" ref="B210:E213" si="401">B184*B22</f>
        <v>13.081690140845073</v>
      </c>
      <c r="C210" s="25">
        <f t="shared" si="401"/>
        <v>20.437438893918195</v>
      </c>
      <c r="D210" s="25">
        <f t="shared" si="401"/>
        <v>20.236865723965124</v>
      </c>
      <c r="E210" s="25">
        <f t="shared" si="401"/>
        <v>12.70030625526014</v>
      </c>
      <c r="F210" s="25">
        <f t="shared" ref="F210:S210" si="402">F184*F22</f>
        <v>24.020447418487173</v>
      </c>
      <c r="G210" s="25">
        <f t="shared" si="402"/>
        <v>23.771509545365081</v>
      </c>
      <c r="H210" s="25">
        <f t="shared" si="402"/>
        <v>23.52</v>
      </c>
      <c r="I210" s="25">
        <f t="shared" si="402"/>
        <v>23.269519123532113</v>
      </c>
      <c r="J210" s="109">
        <f t="shared" si="402"/>
        <v>23.014409237026832</v>
      </c>
      <c r="K210" s="109">
        <f t="shared" si="402"/>
        <v>22.762899691661744</v>
      </c>
      <c r="L210" s="109">
        <f t="shared" si="402"/>
        <v>22.514476152988255</v>
      </c>
      <c r="M210" s="109">
        <f t="shared" si="402"/>
        <v>22.268109952109164</v>
      </c>
      <c r="N210" s="109">
        <f t="shared" si="402"/>
        <v>22.022772420127268</v>
      </c>
      <c r="O210" s="109">
        <f t="shared" si="402"/>
        <v>21.775377550350978</v>
      </c>
      <c r="P210" s="109">
        <f t="shared" si="402"/>
        <v>21.526954011677486</v>
      </c>
      <c r="Q210" s="109">
        <f t="shared" si="402"/>
        <v>21.276987469658195</v>
      </c>
      <c r="R210" s="109">
        <f t="shared" si="402"/>
        <v>21.024449255395915</v>
      </c>
      <c r="S210" s="109">
        <f t="shared" si="402"/>
        <v>20.778083054516824</v>
      </c>
      <c r="T210" s="109">
        <f t="shared" ref="T210:V210" si="403">T184*T22</f>
        <v>20.534603792753153</v>
      </c>
      <c r="U210" s="109">
        <f t="shared" si="403"/>
        <v>20.2939776407183</v>
      </c>
      <c r="V210" s="109">
        <f t="shared" si="403"/>
        <v>20.05617116544115</v>
      </c>
    </row>
    <row r="211" spans="1:22" x14ac:dyDescent="0.25">
      <c r="A211" s="21" t="s">
        <v>151</v>
      </c>
      <c r="B211" s="25">
        <f t="shared" si="401"/>
        <v>17.248000000000005</v>
      </c>
      <c r="C211" s="25">
        <f t="shared" si="401"/>
        <v>32.240455929553121</v>
      </c>
      <c r="D211" s="25">
        <f t="shared" si="401"/>
        <v>34.943890232660713</v>
      </c>
      <c r="E211" s="25">
        <f t="shared" si="401"/>
        <v>16.745151424032745</v>
      </c>
      <c r="F211" s="25">
        <f t="shared" ref="F211:S211" si="404">F185*F23</f>
        <v>33.252796256205038</v>
      </c>
      <c r="G211" s="25">
        <f t="shared" si="404"/>
        <v>36.02111395394607</v>
      </c>
      <c r="H211" s="25">
        <f t="shared" si="404"/>
        <v>35.64</v>
      </c>
      <c r="I211" s="25">
        <f t="shared" si="404"/>
        <v>35.260444794331832</v>
      </c>
      <c r="J211" s="109">
        <f t="shared" si="404"/>
        <v>34.873875221413115</v>
      </c>
      <c r="K211" s="109">
        <f t="shared" si="404"/>
        <v>34.492761267467039</v>
      </c>
      <c r="L211" s="109">
        <f t="shared" si="404"/>
        <v>34.116323558354658</v>
      </c>
      <c r="M211" s="109">
        <f t="shared" si="404"/>
        <v>33.74300334579808</v>
      </c>
      <c r="N211" s="109">
        <f t="shared" si="404"/>
        <v>33.371241881519389</v>
      </c>
      <c r="O211" s="109">
        <f t="shared" si="404"/>
        <v>32.996362920684902</v>
      </c>
      <c r="P211" s="109">
        <f t="shared" si="404"/>
        <v>32.619925211572529</v>
      </c>
      <c r="Q211" s="109">
        <f t="shared" si="404"/>
        <v>32.241149380043296</v>
      </c>
      <c r="R211" s="109">
        <f t="shared" si="404"/>
        <v>31.858476677819329</v>
      </c>
      <c r="S211" s="109">
        <f t="shared" si="404"/>
        <v>31.485156465262747</v>
      </c>
      <c r="T211" s="109">
        <f t="shared" ref="T211:V211" si="405">T185*T23</f>
        <v>31.116210849222902</v>
      </c>
      <c r="U211" s="109">
        <f t="shared" si="405"/>
        <v>30.751588567823145</v>
      </c>
      <c r="V211" s="109">
        <f t="shared" si="405"/>
        <v>30.391238959877668</v>
      </c>
    </row>
    <row r="212" spans="1:22" x14ac:dyDescent="0.25">
      <c r="A212" s="21" t="s">
        <v>140</v>
      </c>
      <c r="B212" s="25">
        <f t="shared" si="401"/>
        <v>36.553846153846152</v>
      </c>
      <c r="C212" s="25">
        <f t="shared" si="401"/>
        <v>33.270249362192416</v>
      </c>
      <c r="D212" s="25">
        <f t="shared" si="401"/>
        <v>32.943734899478109</v>
      </c>
      <c r="E212" s="25">
        <f t="shared" si="401"/>
        <v>35.488154509331551</v>
      </c>
      <c r="F212" s="25">
        <f t="shared" ref="F212:S212" si="406">F186*F24</f>
        <v>42.893656104441391</v>
      </c>
      <c r="G212" s="25">
        <f t="shared" si="406"/>
        <v>42.449124188151941</v>
      </c>
      <c r="H212" s="25">
        <f t="shared" si="406"/>
        <v>42.000000000000007</v>
      </c>
      <c r="I212" s="25">
        <f t="shared" si="406"/>
        <v>41.552712720593071</v>
      </c>
      <c r="J212" s="25">
        <f t="shared" si="406"/>
        <v>41.097159351833639</v>
      </c>
      <c r="K212" s="25">
        <f t="shared" si="406"/>
        <v>40.648035163681698</v>
      </c>
      <c r="L212" s="25">
        <f t="shared" si="406"/>
        <v>40.204421701764744</v>
      </c>
      <c r="M212" s="25">
        <f t="shared" si="406"/>
        <v>39.764482057337794</v>
      </c>
      <c r="N212" s="25">
        <f t="shared" si="406"/>
        <v>39.326379321655843</v>
      </c>
      <c r="O212" s="25">
        <f t="shared" si="406"/>
        <v>38.884602768483894</v>
      </c>
      <c r="P212" s="25">
        <f t="shared" si="406"/>
        <v>38.440989306566941</v>
      </c>
      <c r="Q212" s="25">
        <f t="shared" si="406"/>
        <v>37.9946204815325</v>
      </c>
      <c r="R212" s="25">
        <f t="shared" si="406"/>
        <v>37.543659384635568</v>
      </c>
      <c r="S212" s="25">
        <f t="shared" si="406"/>
        <v>37.103719740208618</v>
      </c>
      <c r="T212" s="25">
        <f t="shared" ref="T212:V212" si="407">T186*T24</f>
        <v>36.668935344202062</v>
      </c>
      <c r="U212" s="25">
        <f t="shared" si="407"/>
        <v>36.239245786996968</v>
      </c>
      <c r="V212" s="25">
        <f t="shared" si="407"/>
        <v>35.814591366859197</v>
      </c>
    </row>
    <row r="213" spans="1:22" x14ac:dyDescent="0.25">
      <c r="A213" s="21" t="s">
        <v>141</v>
      </c>
      <c r="B213" s="25">
        <f t="shared" si="401"/>
        <v>17.446153846153852</v>
      </c>
      <c r="C213" s="25">
        <f t="shared" si="401"/>
        <v>16.041013085342769</v>
      </c>
      <c r="D213" s="25">
        <f t="shared" si="401"/>
        <v>15.883586469391231</v>
      </c>
      <c r="E213" s="25">
        <f t="shared" si="401"/>
        <v>16.937528288544605</v>
      </c>
      <c r="F213" s="25">
        <f t="shared" ref="F213:S213" si="408">F187*F25</f>
        <v>18.38299547333202</v>
      </c>
      <c r="G213" s="25">
        <f t="shared" si="408"/>
        <v>18.192481794922259</v>
      </c>
      <c r="H213" s="25">
        <f t="shared" si="408"/>
        <v>18</v>
      </c>
      <c r="I213" s="25">
        <f t="shared" si="408"/>
        <v>17.808305451682738</v>
      </c>
      <c r="J213" s="25">
        <f t="shared" si="408"/>
        <v>17.613068293642982</v>
      </c>
      <c r="K213" s="25">
        <f t="shared" si="408"/>
        <v>17.420586498720724</v>
      </c>
      <c r="L213" s="25">
        <f t="shared" si="408"/>
        <v>17.230466443613462</v>
      </c>
      <c r="M213" s="25">
        <f t="shared" si="408"/>
        <v>17.041920881716198</v>
      </c>
      <c r="N213" s="25">
        <f t="shared" si="408"/>
        <v>16.854162566423931</v>
      </c>
      <c r="O213" s="25">
        <f t="shared" si="408"/>
        <v>16.664829757921666</v>
      </c>
      <c r="P213" s="25">
        <f t="shared" si="408"/>
        <v>16.474709702814405</v>
      </c>
      <c r="Q213" s="25">
        <f t="shared" si="408"/>
        <v>16.283408777799643</v>
      </c>
      <c r="R213" s="25">
        <f t="shared" si="408"/>
        <v>16.090139736272388</v>
      </c>
      <c r="S213" s="25">
        <f t="shared" si="408"/>
        <v>15.901594174375123</v>
      </c>
      <c r="T213" s="25">
        <f t="shared" ref="T213:V213" si="409">T187*T25</f>
        <v>15.715258004658027</v>
      </c>
      <c r="U213" s="25">
        <f t="shared" si="409"/>
        <v>15.531105337284414</v>
      </c>
      <c r="V213" s="25">
        <f t="shared" si="409"/>
        <v>15.349110585796799</v>
      </c>
    </row>
    <row r="214" spans="1:22" ht="14.25" customHeight="1" x14ac:dyDescent="0.25">
      <c r="A214" s="26" t="s">
        <v>122</v>
      </c>
      <c r="B214" s="33">
        <f t="shared" ref="B214:S214" si="410">SUM(B191:B213)</f>
        <v>2245.1766365217809</v>
      </c>
      <c r="C214" s="33">
        <f t="shared" si="410"/>
        <v>2242.5468952858882</v>
      </c>
      <c r="D214" s="33">
        <f t="shared" si="410"/>
        <v>2223.950926832576</v>
      </c>
      <c r="E214" s="33">
        <f t="shared" si="410"/>
        <v>2202.0098604947366</v>
      </c>
      <c r="F214" s="33">
        <f t="shared" si="410"/>
        <v>3498.5539977588014</v>
      </c>
      <c r="G214" s="33">
        <f t="shared" si="410"/>
        <v>3487.6980945101932</v>
      </c>
      <c r="H214" s="33">
        <f t="shared" si="410"/>
        <v>3451.2204371425987</v>
      </c>
      <c r="I214" s="33">
        <f t="shared" si="410"/>
        <v>3430.3258373724648</v>
      </c>
      <c r="J214" s="33">
        <f t="shared" si="410"/>
        <v>3434.2930989171582</v>
      </c>
      <c r="K214" s="33">
        <f t="shared" si="410"/>
        <v>3437.8858196466135</v>
      </c>
      <c r="L214" s="33">
        <f t="shared" si="410"/>
        <v>3451.1062878147368</v>
      </c>
      <c r="M214" s="33">
        <f t="shared" si="410"/>
        <v>3511.5249070849759</v>
      </c>
      <c r="N214" s="33">
        <f t="shared" si="410"/>
        <v>3569.9455806506107</v>
      </c>
      <c r="O214" s="33">
        <f t="shared" si="410"/>
        <v>3596.6824375627343</v>
      </c>
      <c r="P214" s="33">
        <f t="shared" si="410"/>
        <v>3556.1061658065196</v>
      </c>
      <c r="Q214" s="33">
        <f t="shared" si="410"/>
        <v>3515.2778675176592</v>
      </c>
      <c r="R214" s="33">
        <f t="shared" si="410"/>
        <v>3474.0295250077206</v>
      </c>
      <c r="S214" s="33">
        <f t="shared" si="410"/>
        <v>3433.7892886283694</v>
      </c>
      <c r="T214" s="33">
        <f t="shared" ref="T214:V214" si="411">SUM(T191:T213)</f>
        <v>3394.0205906012889</v>
      </c>
      <c r="U214" s="33">
        <f t="shared" si="411"/>
        <v>3354.7179054018361</v>
      </c>
      <c r="V214" s="33">
        <f t="shared" si="411"/>
        <v>3315.8757722539171</v>
      </c>
    </row>
    <row r="215" spans="1:22" ht="1.5" hidden="1" customHeight="1" x14ac:dyDescent="0.25">
      <c r="A215" s="28" t="s">
        <v>163</v>
      </c>
    </row>
    <row r="216" spans="1:22" hidden="1" x14ac:dyDescent="0.25">
      <c r="A216" s="26"/>
      <c r="B216" s="26">
        <v>2012</v>
      </c>
      <c r="C216" s="26">
        <f>B216+1</f>
        <v>2013</v>
      </c>
      <c r="D216" s="26">
        <f t="shared" ref="D216" si="412">C216+1</f>
        <v>2014</v>
      </c>
      <c r="E216" s="26">
        <f t="shared" ref="E216" si="413">D216+1</f>
        <v>2015</v>
      </c>
      <c r="F216" s="26">
        <f t="shared" ref="F216" si="414">E216+1</f>
        <v>2016</v>
      </c>
      <c r="G216" s="26">
        <f t="shared" ref="G216" si="415">F216+1</f>
        <v>2017</v>
      </c>
      <c r="H216" s="26">
        <f t="shared" ref="H216" si="416">G216+1</f>
        <v>2018</v>
      </c>
      <c r="I216" s="26">
        <f t="shared" ref="I216" si="417">H216+1</f>
        <v>2019</v>
      </c>
      <c r="J216" s="26">
        <f t="shared" ref="J216" si="418">I216+1</f>
        <v>2020</v>
      </c>
      <c r="K216" s="26">
        <f t="shared" ref="K216" si="419">J216+1</f>
        <v>2021</v>
      </c>
      <c r="L216" s="26">
        <f t="shared" ref="L216" si="420">K216+1</f>
        <v>2022</v>
      </c>
      <c r="M216" s="26">
        <f t="shared" ref="M216" si="421">L216+1</f>
        <v>2023</v>
      </c>
      <c r="N216" s="26">
        <f t="shared" ref="N216" si="422">M216+1</f>
        <v>2024</v>
      </c>
      <c r="O216" s="26">
        <f t="shared" ref="O216" si="423">N216+1</f>
        <v>2025</v>
      </c>
      <c r="P216" s="26">
        <f t="shared" ref="P216" si="424">O216+1</f>
        <v>2026</v>
      </c>
      <c r="Q216" s="26">
        <f t="shared" ref="Q216" si="425">P216+1</f>
        <v>2027</v>
      </c>
      <c r="R216" s="26">
        <f t="shared" ref="R216" si="426">Q216+1</f>
        <v>2028</v>
      </c>
      <c r="S216" s="73"/>
    </row>
    <row r="217" spans="1:22" hidden="1" x14ac:dyDescent="0.25">
      <c r="A217" s="21" t="s">
        <v>164</v>
      </c>
      <c r="B217" s="25">
        <f>SUM(B83:B95)</f>
        <v>54920</v>
      </c>
      <c r="C217" s="25">
        <f>SUM(C83:C95)</f>
        <v>52337</v>
      </c>
      <c r="D217" s="25">
        <f>SUM(D83:D95)+3850</f>
        <v>55710</v>
      </c>
      <c r="E217" s="25">
        <f>SUM(E83:E105)-E96+4003</f>
        <v>66209.766828416119</v>
      </c>
      <c r="F217" s="25">
        <f t="shared" ref="F217:R217" si="427">SUM(F83:F105)</f>
        <v>87389</v>
      </c>
      <c r="G217" s="25">
        <f t="shared" si="427"/>
        <v>88541</v>
      </c>
      <c r="H217" s="25">
        <f t="shared" si="427"/>
        <v>87536.891685070193</v>
      </c>
      <c r="I217" s="25">
        <f t="shared" si="427"/>
        <v>86989.613774805286</v>
      </c>
      <c r="J217" s="25">
        <f t="shared" si="427"/>
        <v>86874.944929839417</v>
      </c>
      <c r="K217" s="25">
        <f t="shared" si="427"/>
        <v>86603.809088797134</v>
      </c>
      <c r="L217" s="25">
        <f t="shared" si="427"/>
        <v>86534.966822861563</v>
      </c>
      <c r="M217" s="25">
        <f t="shared" si="427"/>
        <v>87310.331711946623</v>
      </c>
      <c r="N217" s="25">
        <f t="shared" si="427"/>
        <v>88052.715150005373</v>
      </c>
      <c r="O217" s="25">
        <f t="shared" si="427"/>
        <v>88354.146481295174</v>
      </c>
      <c r="P217" s="25">
        <f t="shared" si="427"/>
        <v>87405.417058826541</v>
      </c>
      <c r="Q217" s="25">
        <f t="shared" si="427"/>
        <v>86450.794907025847</v>
      </c>
      <c r="R217" s="25">
        <f t="shared" si="427"/>
        <v>85486.351539671625</v>
      </c>
      <c r="S217" s="68"/>
      <c r="T217" t="s">
        <v>203</v>
      </c>
    </row>
    <row r="218" spans="1:22" hidden="1" x14ac:dyDescent="0.25">
      <c r="A218" s="21" t="s">
        <v>165</v>
      </c>
      <c r="B218" s="21">
        <v>15242</v>
      </c>
      <c r="C218" s="21">
        <v>19180</v>
      </c>
      <c r="D218" s="21">
        <v>23310</v>
      </c>
      <c r="E218" s="21">
        <v>24530</v>
      </c>
      <c r="F218" s="21">
        <v>24530</v>
      </c>
      <c r="G218" s="21">
        <v>24530</v>
      </c>
      <c r="H218" s="21">
        <v>24530</v>
      </c>
      <c r="I218" s="21">
        <v>24530</v>
      </c>
      <c r="J218" s="21">
        <v>24530</v>
      </c>
      <c r="K218" s="21">
        <v>24530</v>
      </c>
      <c r="L218" s="21">
        <v>24530</v>
      </c>
      <c r="M218" s="21">
        <v>24530</v>
      </c>
      <c r="N218" s="21">
        <v>24530</v>
      </c>
      <c r="O218" s="21">
        <v>24530</v>
      </c>
      <c r="P218" s="21">
        <v>24530</v>
      </c>
      <c r="Q218" s="21">
        <v>24530</v>
      </c>
      <c r="R218" s="21">
        <v>24530</v>
      </c>
      <c r="S218" s="32"/>
    </row>
    <row r="219" spans="1:22" hidden="1" x14ac:dyDescent="0.25">
      <c r="A219" s="26" t="s">
        <v>122</v>
      </c>
      <c r="B219" s="33">
        <f>B217+B218</f>
        <v>70162</v>
      </c>
      <c r="C219" s="33">
        <f t="shared" ref="C219:R219" si="428">C217+C218</f>
        <v>71517</v>
      </c>
      <c r="D219" s="33">
        <f t="shared" si="428"/>
        <v>79020</v>
      </c>
      <c r="E219" s="33">
        <f t="shared" si="428"/>
        <v>90739.766828416119</v>
      </c>
      <c r="F219" s="33">
        <f t="shared" si="428"/>
        <v>111919</v>
      </c>
      <c r="G219" s="33">
        <f t="shared" si="428"/>
        <v>113071</v>
      </c>
      <c r="H219" s="33">
        <f t="shared" si="428"/>
        <v>112066.89168507019</v>
      </c>
      <c r="I219" s="33">
        <f t="shared" si="428"/>
        <v>111519.61377480529</v>
      </c>
      <c r="J219" s="33">
        <f t="shared" si="428"/>
        <v>111404.94492983942</v>
      </c>
      <c r="K219" s="33">
        <f t="shared" si="428"/>
        <v>111133.80908879713</v>
      </c>
      <c r="L219" s="33">
        <f t="shared" si="428"/>
        <v>111064.96682286156</v>
      </c>
      <c r="M219" s="33">
        <f t="shared" si="428"/>
        <v>111840.33171194662</v>
      </c>
      <c r="N219" s="33">
        <f t="shared" si="428"/>
        <v>112582.71515000537</v>
      </c>
      <c r="O219" s="33">
        <f t="shared" si="428"/>
        <v>112884.14648129517</v>
      </c>
      <c r="P219" s="33">
        <f t="shared" si="428"/>
        <v>111935.41705882654</v>
      </c>
      <c r="Q219" s="33">
        <f t="shared" si="428"/>
        <v>110980.79490702585</v>
      </c>
      <c r="R219" s="33">
        <f t="shared" si="428"/>
        <v>110016.35153967162</v>
      </c>
      <c r="S219" s="74"/>
    </row>
    <row r="220" spans="1:22" hidden="1" x14ac:dyDescent="0.25"/>
    <row r="221" spans="1:22" hidden="1" x14ac:dyDescent="0.25">
      <c r="A221" s="27" t="s">
        <v>166</v>
      </c>
    </row>
    <row r="222" spans="1:22" hidden="1" x14ac:dyDescent="0.25">
      <c r="A222" s="26"/>
      <c r="B222" s="26">
        <v>2012</v>
      </c>
      <c r="C222" s="26">
        <f>B222+1</f>
        <v>2013</v>
      </c>
      <c r="D222" s="26">
        <f t="shared" ref="D222" si="429">C222+1</f>
        <v>2014</v>
      </c>
      <c r="E222" s="26">
        <f t="shared" ref="E222" si="430">D222+1</f>
        <v>2015</v>
      </c>
      <c r="F222" s="26">
        <f t="shared" ref="F222" si="431">E222+1</f>
        <v>2016</v>
      </c>
      <c r="G222" s="26">
        <f t="shared" ref="G222" si="432">F222+1</f>
        <v>2017</v>
      </c>
      <c r="H222" s="26">
        <f t="shared" ref="H222" si="433">G222+1</f>
        <v>2018</v>
      </c>
      <c r="I222" s="26">
        <f t="shared" ref="I222" si="434">H222+1</f>
        <v>2019</v>
      </c>
      <c r="J222" s="26">
        <f t="shared" ref="J222" si="435">I222+1</f>
        <v>2020</v>
      </c>
      <c r="K222" s="26">
        <f t="shared" ref="K222" si="436">J222+1</f>
        <v>2021</v>
      </c>
      <c r="L222" s="26">
        <f t="shared" ref="L222" si="437">K222+1</f>
        <v>2022</v>
      </c>
      <c r="M222" s="26">
        <f t="shared" ref="M222" si="438">L222+1</f>
        <v>2023</v>
      </c>
      <c r="N222" s="26">
        <f t="shared" ref="N222" si="439">M222+1</f>
        <v>2024</v>
      </c>
      <c r="O222" s="26">
        <f t="shared" ref="O222" si="440">N222+1</f>
        <v>2025</v>
      </c>
      <c r="P222" s="26">
        <f t="shared" ref="P222" si="441">O222+1</f>
        <v>2026</v>
      </c>
      <c r="Q222" s="26">
        <f t="shared" ref="Q222" si="442">P222+1</f>
        <v>2027</v>
      </c>
      <c r="R222" s="26">
        <f t="shared" ref="R222" si="443">Q222+1</f>
        <v>2028</v>
      </c>
      <c r="S222" s="73"/>
    </row>
    <row r="223" spans="1:22" hidden="1" x14ac:dyDescent="0.25">
      <c r="A223" s="21" t="s">
        <v>164</v>
      </c>
      <c r="B223" s="21">
        <f>SUM(B137:B149)</f>
        <v>48953</v>
      </c>
      <c r="C223" s="21">
        <f>SUM(C137:C149)</f>
        <v>47339</v>
      </c>
      <c r="D223" s="21">
        <f>SUM(D137:D149)</f>
        <v>46760</v>
      </c>
      <c r="E223" s="45">
        <f>'Reoveebilansi prognoos Ramsi VK'!C142</f>
        <v>56535.025480782344</v>
      </c>
      <c r="F223" s="45">
        <f>'Reoveebilansi prognoos Ramsi VK'!D142</f>
        <v>77931</v>
      </c>
      <c r="G223" s="45">
        <f>'Reoveebilansi prognoos Ramsi VK'!E142</f>
        <v>77259</v>
      </c>
      <c r="H223" s="45">
        <f>'Reoveebilansi prognoos Ramsi VK'!F142</f>
        <v>80471.314062509613</v>
      </c>
      <c r="I223" s="45">
        <f>'Reoveebilansi prognoos Ramsi VK'!G142</f>
        <v>79943.570163960831</v>
      </c>
      <c r="J223" s="45">
        <f>'Reoveebilansi prognoos Ramsi VK'!H142</f>
        <v>79988.643657860026</v>
      </c>
      <c r="K223" s="45">
        <f>'Reoveebilansi prognoos Ramsi VK'!I142</f>
        <v>80025.986634405126</v>
      </c>
      <c r="L223" s="45">
        <f>'Reoveebilansi prognoos Ramsi VK'!J142</f>
        <v>80278.271065647466</v>
      </c>
      <c r="M223" s="45">
        <f>'Reoveebilansi prognoos Ramsi VK'!K142</f>
        <v>81349.069499397083</v>
      </c>
      <c r="N223" s="45">
        <f>'Reoveebilansi prognoos Ramsi VK'!L142</f>
        <v>82380.680166131031</v>
      </c>
      <c r="O223" s="45">
        <f>'Reoveebilansi prognoos Ramsi VK'!M142</f>
        <v>82711.515185863333</v>
      </c>
      <c r="P223" s="45">
        <f>'Reoveebilansi prognoos Ramsi VK'!N142</f>
        <v>81773.499014404792</v>
      </c>
      <c r="Q223" s="45">
        <f>'Reoveebilansi prognoos Ramsi VK'!O142</f>
        <v>80829.656655545929</v>
      </c>
      <c r="R223" s="45">
        <f>'Reoveebilansi prognoos Ramsi VK'!P142</f>
        <v>79876.103984353147</v>
      </c>
      <c r="S223" s="75"/>
      <c r="T223" t="s">
        <v>202</v>
      </c>
    </row>
    <row r="224" spans="1:22" hidden="1" x14ac:dyDescent="0.25">
      <c r="A224" s="21" t="s">
        <v>165</v>
      </c>
      <c r="B224" s="21">
        <v>1060</v>
      </c>
      <c r="C224" s="21">
        <v>1030</v>
      </c>
      <c r="D224" s="21">
        <v>10820</v>
      </c>
      <c r="E224" s="45">
        <f>'Reoveebilansi prognoos Ramsi VK'!C145</f>
        <v>16411</v>
      </c>
      <c r="F224" s="45">
        <f>'Reoveebilansi prognoos Ramsi VK'!D145</f>
        <v>24569</v>
      </c>
      <c r="G224" s="45">
        <f>'Reoveebilansi prognoos Ramsi VK'!E145</f>
        <v>23732.5</v>
      </c>
      <c r="H224" s="45">
        <f>'Reoveebilansi prognoos Ramsi VK'!F145</f>
        <v>24427.5</v>
      </c>
      <c r="I224" s="45">
        <f>'Reoveebilansi prognoos Ramsi VK'!G145</f>
        <v>24427.5</v>
      </c>
      <c r="J224" s="45">
        <f>'Reoveebilansi prognoos Ramsi VK'!H145</f>
        <v>24427.5</v>
      </c>
      <c r="K224" s="45">
        <f>'Reoveebilansi prognoos Ramsi VK'!I145</f>
        <v>24427.5</v>
      </c>
      <c r="L224" s="45">
        <f>'Reoveebilansi prognoos Ramsi VK'!J145</f>
        <v>24824.5</v>
      </c>
      <c r="M224" s="45">
        <f>'Reoveebilansi prognoos Ramsi VK'!K145</f>
        <v>25171.5</v>
      </c>
      <c r="N224" s="45">
        <f>'Reoveebilansi prognoos Ramsi VK'!L145</f>
        <v>25469.5</v>
      </c>
      <c r="O224" s="45">
        <f>'Reoveebilansi prognoos Ramsi VK'!M145</f>
        <v>25469.5</v>
      </c>
      <c r="P224" s="45">
        <f>'Reoveebilansi prognoos Ramsi VK'!N145</f>
        <v>25469.5</v>
      </c>
      <c r="Q224" s="45">
        <f>'Reoveebilansi prognoos Ramsi VK'!O145</f>
        <v>25469.5</v>
      </c>
      <c r="R224" s="45">
        <f>'Reoveebilansi prognoos Ramsi VK'!P145</f>
        <v>25469.5</v>
      </c>
      <c r="S224" s="75"/>
      <c r="T224" t="s">
        <v>204</v>
      </c>
    </row>
    <row r="225" spans="1:19" hidden="1" x14ac:dyDescent="0.25">
      <c r="A225" s="26" t="s">
        <v>122</v>
      </c>
      <c r="B225" s="33">
        <f>B223+B224</f>
        <v>50013</v>
      </c>
      <c r="C225" s="33">
        <f t="shared" ref="C225" si="444">C223+C224</f>
        <v>48369</v>
      </c>
      <c r="D225" s="33">
        <f t="shared" ref="D225" si="445">D223+D224</f>
        <v>57580</v>
      </c>
      <c r="E225" s="33">
        <f t="shared" ref="E225" si="446">E223+E224</f>
        <v>72946.025480782351</v>
      </c>
      <c r="F225" s="33">
        <f t="shared" ref="F225" si="447">F223+F224</f>
        <v>102500</v>
      </c>
      <c r="G225" s="33">
        <f t="shared" ref="G225" si="448">G223+G224</f>
        <v>100991.5</v>
      </c>
      <c r="H225" s="33">
        <f t="shared" ref="H225" si="449">H223+H224</f>
        <v>104898.81406250961</v>
      </c>
      <c r="I225" s="33">
        <f t="shared" ref="I225" si="450">I223+I224</f>
        <v>104371.07016396083</v>
      </c>
      <c r="J225" s="33">
        <f t="shared" ref="J225" si="451">J223+J224</f>
        <v>104416.14365786003</v>
      </c>
      <c r="K225" s="33">
        <f t="shared" ref="K225" si="452">K223+K224</f>
        <v>104453.48663440513</v>
      </c>
      <c r="L225" s="33">
        <f t="shared" ref="L225" si="453">L223+L224</f>
        <v>105102.77106564747</v>
      </c>
      <c r="M225" s="33">
        <f t="shared" ref="M225" si="454">M223+M224</f>
        <v>106520.56949939708</v>
      </c>
      <c r="N225" s="33">
        <f t="shared" ref="N225" si="455">N223+N224</f>
        <v>107850.18016613103</v>
      </c>
      <c r="O225" s="33">
        <f t="shared" ref="O225" si="456">O223+O224</f>
        <v>108181.01518586333</v>
      </c>
      <c r="P225" s="33">
        <f t="shared" ref="P225" si="457">P223+P224</f>
        <v>107242.99901440479</v>
      </c>
      <c r="Q225" s="33">
        <f t="shared" ref="Q225" si="458">Q223+Q224</f>
        <v>106299.15665554593</v>
      </c>
      <c r="R225" s="33">
        <f t="shared" ref="R225" si="459">R223+R224</f>
        <v>105345.60398435315</v>
      </c>
      <c r="S225" s="74"/>
    </row>
  </sheetData>
  <sheetProtection algorithmName="SHA-512" hashValue="MAqokA1+0awX8KXPQpemS8B6mvyCD+bWzZOpSzenl6Uf+nYPD8evZGikWLfav7eC/ecWFDzS0ZIJGzoO0fzyUw==" saltValue="w2EzizbrG8aksLBVw3Mv4w==" spinCount="100000" sheet="1" objects="1" scenarios="1" selectLockedCells="1" selectUnlockedCells="1"/>
  <pageMargins left="0.7" right="0.7" top="0.75" bottom="0.75" header="0.3" footer="0.3"/>
  <pageSetup paperSize="9" orientation="portrait" r:id="rId1"/>
  <ignoredErrors>
    <ignoredError sqref="C41 C35 D35:E35 B63 C63:S63 D69:E69 B69:C69 F69 D130 D124 F124:G124 C171 B198:D198 E198:S198 H149:R149 G111 G131:G133 H69:S69 F128:F129 F193:G193 F167:G167 F207:S207 G185 M141 N141:S141 G100 I30 I170 H153 I153:S153 H144 I144:S144" formula="1"/>
    <ignoredError sqref="B223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9"/>
  <sheetViews>
    <sheetView topLeftCell="A135" zoomScaleNormal="100" workbookViewId="0">
      <selection activeCell="M276" sqref="M276"/>
    </sheetView>
  </sheetViews>
  <sheetFormatPr defaultRowHeight="15" x14ac:dyDescent="0.25"/>
  <cols>
    <col min="1" max="1" width="43.5703125" customWidth="1"/>
    <col min="2" max="2" width="10.85546875" hidden="1" customWidth="1"/>
    <col min="3" max="3" width="11" hidden="1" customWidth="1"/>
    <col min="4" max="4" width="10.7109375" hidden="1" customWidth="1"/>
    <col min="5" max="5" width="10.5703125" hidden="1" customWidth="1"/>
    <col min="6" max="6" width="9.42578125" hidden="1" customWidth="1"/>
    <col min="7" max="7" width="9.5703125" hidden="1" customWidth="1"/>
    <col min="8" max="16" width="9.5703125" bestFit="1" customWidth="1"/>
  </cols>
  <sheetData>
    <row r="1" spans="1:6" s="120" customFormat="1" hidden="1" x14ac:dyDescent="0.25">
      <c r="A1" s="119" t="s">
        <v>230</v>
      </c>
      <c r="B1" s="117"/>
      <c r="C1" s="117"/>
    </row>
    <row r="2" spans="1:6" s="120" customFormat="1" hidden="1" x14ac:dyDescent="0.25">
      <c r="A2" s="116" t="s">
        <v>146</v>
      </c>
      <c r="B2" s="119">
        <v>2014</v>
      </c>
      <c r="C2" s="119">
        <v>2015</v>
      </c>
      <c r="D2" s="119">
        <f>C2+1</f>
        <v>2016</v>
      </c>
      <c r="E2" s="119">
        <f>D2+1</f>
        <v>2017</v>
      </c>
    </row>
    <row r="3" spans="1:6" s="120" customFormat="1" hidden="1" x14ac:dyDescent="0.25">
      <c r="B3" s="117"/>
      <c r="C3" s="117"/>
    </row>
    <row r="4" spans="1:6" s="120" customFormat="1" hidden="1" x14ac:dyDescent="0.25">
      <c r="A4" s="119" t="s">
        <v>159</v>
      </c>
      <c r="B4" s="117" t="s">
        <v>143</v>
      </c>
      <c r="C4" s="117" t="s">
        <v>143</v>
      </c>
      <c r="D4" s="117" t="s">
        <v>143</v>
      </c>
      <c r="E4" s="117" t="s">
        <v>143</v>
      </c>
    </row>
    <row r="5" spans="1:6" s="120" customFormat="1" hidden="1" x14ac:dyDescent="0.25">
      <c r="A5" s="117" t="s">
        <v>160</v>
      </c>
      <c r="B5" s="121">
        <v>17750</v>
      </c>
      <c r="C5" s="121">
        <v>17290</v>
      </c>
      <c r="D5" s="121">
        <f>14608+2466</f>
        <v>17074</v>
      </c>
      <c r="E5" s="121">
        <f>16752+0</f>
        <v>16752</v>
      </c>
    </row>
    <row r="6" spans="1:6" s="120" customFormat="1" hidden="1" x14ac:dyDescent="0.25">
      <c r="A6" s="117" t="s">
        <v>147</v>
      </c>
      <c r="B6" s="121">
        <v>18340</v>
      </c>
      <c r="C6" s="121">
        <v>17710</v>
      </c>
      <c r="D6" s="122">
        <v>18088</v>
      </c>
      <c r="E6" s="122">
        <v>24104</v>
      </c>
    </row>
    <row r="7" spans="1:6" s="120" customFormat="1" hidden="1" x14ac:dyDescent="0.25">
      <c r="A7" s="117" t="s">
        <v>144</v>
      </c>
      <c r="B7" s="123">
        <f>B6-B5</f>
        <v>590</v>
      </c>
      <c r="C7" s="123">
        <f>C6-C5</f>
        <v>420</v>
      </c>
      <c r="D7" s="123">
        <f>D6-D5</f>
        <v>1014</v>
      </c>
      <c r="E7" s="123">
        <f>E6-E5</f>
        <v>7352</v>
      </c>
    </row>
    <row r="8" spans="1:6" s="120" customFormat="1" hidden="1" x14ac:dyDescent="0.25">
      <c r="A8" s="117" t="s">
        <v>145</v>
      </c>
      <c r="B8" s="118">
        <f>B7/B6</f>
        <v>3.21701199563795E-2</v>
      </c>
      <c r="C8" s="118">
        <f>C7/C6</f>
        <v>2.3715415019762844E-2</v>
      </c>
      <c r="D8" s="118">
        <f>D7/D6</f>
        <v>5.6059265811587794E-2</v>
      </c>
      <c r="E8" s="124">
        <f>E7/E6</f>
        <v>0.30501161632923995</v>
      </c>
      <c r="F8" s="120" t="s">
        <v>323</v>
      </c>
    </row>
    <row r="9" spans="1:6" s="120" customFormat="1" hidden="1" x14ac:dyDescent="0.25"/>
    <row r="10" spans="1:6" s="120" customFormat="1" hidden="1" x14ac:dyDescent="0.25">
      <c r="A10" s="119" t="s">
        <v>161</v>
      </c>
      <c r="B10" s="117" t="s">
        <v>143</v>
      </c>
      <c r="C10" s="117" t="s">
        <v>143</v>
      </c>
      <c r="D10" s="117" t="s">
        <v>143</v>
      </c>
      <c r="E10" s="117" t="s">
        <v>143</v>
      </c>
    </row>
    <row r="11" spans="1:6" s="120" customFormat="1" hidden="1" x14ac:dyDescent="0.25">
      <c r="A11" s="117" t="s">
        <v>160</v>
      </c>
      <c r="B11" s="121">
        <v>18850</v>
      </c>
      <c r="C11" s="121">
        <v>20890</v>
      </c>
      <c r="D11" s="121">
        <f>8588+12296</f>
        <v>20884</v>
      </c>
      <c r="E11" s="121">
        <f>8090+14687</f>
        <v>22777</v>
      </c>
    </row>
    <row r="12" spans="1:6" s="120" customFormat="1" hidden="1" x14ac:dyDescent="0.25">
      <c r="A12" s="117" t="s">
        <v>147</v>
      </c>
      <c r="B12" s="121">
        <v>19450</v>
      </c>
      <c r="C12" s="121">
        <v>21370</v>
      </c>
      <c r="D12" s="122">
        <v>22378</v>
      </c>
      <c r="E12" s="122">
        <v>24493</v>
      </c>
    </row>
    <row r="13" spans="1:6" s="120" customFormat="1" hidden="1" x14ac:dyDescent="0.25">
      <c r="A13" s="117" t="s">
        <v>144</v>
      </c>
      <c r="B13" s="123">
        <f>B12-B11</f>
        <v>600</v>
      </c>
      <c r="C13" s="123">
        <f>C12-C11</f>
        <v>480</v>
      </c>
      <c r="D13" s="123">
        <f>D12-D11</f>
        <v>1494</v>
      </c>
      <c r="E13" s="123">
        <f>E12-E11</f>
        <v>1716</v>
      </c>
    </row>
    <row r="14" spans="1:6" s="120" customFormat="1" hidden="1" x14ac:dyDescent="0.25">
      <c r="A14" s="117" t="s">
        <v>145</v>
      </c>
      <c r="B14" s="118">
        <f>B13/B12</f>
        <v>3.0848329048843187E-2</v>
      </c>
      <c r="C14" s="118">
        <f>C13/C12</f>
        <v>2.2461394478240523E-2</v>
      </c>
      <c r="D14" s="118">
        <f>D13/D12</f>
        <v>6.6761998391277153E-2</v>
      </c>
      <c r="E14" s="118">
        <f>E13/E12</f>
        <v>7.006083370758992E-2</v>
      </c>
    </row>
    <row r="15" spans="1:6" s="120" customFormat="1" hidden="1" x14ac:dyDescent="0.25"/>
    <row r="16" spans="1:6" s="120" customFormat="1" hidden="1" x14ac:dyDescent="0.25">
      <c r="A16" s="119" t="s">
        <v>127</v>
      </c>
      <c r="B16" s="117" t="s">
        <v>143</v>
      </c>
      <c r="C16" s="117" t="s">
        <v>143</v>
      </c>
      <c r="D16" s="117" t="s">
        <v>143</v>
      </c>
      <c r="E16" s="117" t="s">
        <v>143</v>
      </c>
    </row>
    <row r="17" spans="1:6" s="120" customFormat="1" hidden="1" x14ac:dyDescent="0.25">
      <c r="A17" s="117" t="s">
        <v>160</v>
      </c>
      <c r="B17" s="121">
        <v>5650</v>
      </c>
      <c r="C17" s="121">
        <v>5310</v>
      </c>
      <c r="D17" s="121">
        <f>3105+1786</f>
        <v>4891</v>
      </c>
      <c r="E17" s="121">
        <f>3322+2163</f>
        <v>5485</v>
      </c>
    </row>
    <row r="18" spans="1:6" s="120" customFormat="1" hidden="1" x14ac:dyDescent="0.25">
      <c r="A18" s="117" t="s">
        <v>147</v>
      </c>
      <c r="B18" s="121">
        <v>6035</v>
      </c>
      <c r="C18" s="121">
        <v>5670</v>
      </c>
      <c r="D18" s="121">
        <v>5818</v>
      </c>
      <c r="E18" s="121">
        <v>6225</v>
      </c>
    </row>
    <row r="19" spans="1:6" s="120" customFormat="1" hidden="1" x14ac:dyDescent="0.25">
      <c r="A19" s="117" t="s">
        <v>144</v>
      </c>
      <c r="B19" s="123">
        <f>B18-B17</f>
        <v>385</v>
      </c>
      <c r="C19" s="123">
        <f>C18-C17</f>
        <v>360</v>
      </c>
      <c r="D19" s="123">
        <f>D18-D17</f>
        <v>927</v>
      </c>
      <c r="E19" s="123">
        <f>E18-E17</f>
        <v>740</v>
      </c>
    </row>
    <row r="20" spans="1:6" s="120" customFormat="1" hidden="1" x14ac:dyDescent="0.25">
      <c r="A20" s="117" t="s">
        <v>145</v>
      </c>
      <c r="B20" s="118">
        <f>B19/B18</f>
        <v>6.3794531897265944E-2</v>
      </c>
      <c r="C20" s="118">
        <f>C19/C18</f>
        <v>6.3492063492063489E-2</v>
      </c>
      <c r="D20" s="118">
        <f>D19/D18</f>
        <v>0.159333104159505</v>
      </c>
      <c r="E20" s="118">
        <f>E19/E18</f>
        <v>0.11887550200803212</v>
      </c>
      <c r="F20" s="120" t="s">
        <v>326</v>
      </c>
    </row>
    <row r="21" spans="1:6" s="120" customFormat="1" hidden="1" x14ac:dyDescent="0.25"/>
    <row r="22" spans="1:6" s="120" customFormat="1" hidden="1" x14ac:dyDescent="0.25">
      <c r="A22" s="119" t="s">
        <v>133</v>
      </c>
      <c r="B22" s="117" t="s">
        <v>143</v>
      </c>
      <c r="C22" s="117" t="s">
        <v>143</v>
      </c>
      <c r="D22" s="117" t="s">
        <v>143</v>
      </c>
      <c r="E22" s="117" t="s">
        <v>143</v>
      </c>
    </row>
    <row r="23" spans="1:6" s="120" customFormat="1" hidden="1" x14ac:dyDescent="0.25">
      <c r="A23" s="117" t="s">
        <v>160</v>
      </c>
      <c r="B23" s="121">
        <v>12690</v>
      </c>
      <c r="C23" s="121">
        <v>12100</v>
      </c>
      <c r="D23" s="121">
        <f>2000+9833</f>
        <v>11833</v>
      </c>
      <c r="E23" s="121">
        <f>2192+10166</f>
        <v>12358</v>
      </c>
    </row>
    <row r="24" spans="1:6" s="120" customFormat="1" hidden="1" x14ac:dyDescent="0.25">
      <c r="A24" s="117" t="s">
        <v>147</v>
      </c>
      <c r="B24" s="121">
        <v>13410</v>
      </c>
      <c r="C24" s="121">
        <v>12800</v>
      </c>
      <c r="D24" s="122">
        <v>17154</v>
      </c>
      <c r="E24" s="122">
        <v>13551</v>
      </c>
    </row>
    <row r="25" spans="1:6" s="120" customFormat="1" hidden="1" x14ac:dyDescent="0.25">
      <c r="A25" s="117" t="s">
        <v>144</v>
      </c>
      <c r="B25" s="123">
        <f>B24-B23</f>
        <v>720</v>
      </c>
      <c r="C25" s="123">
        <f>C24-C23</f>
        <v>700</v>
      </c>
      <c r="D25" s="123">
        <f>D24-D23</f>
        <v>5321</v>
      </c>
      <c r="E25" s="123">
        <f>E24-E23</f>
        <v>1193</v>
      </c>
    </row>
    <row r="26" spans="1:6" s="120" customFormat="1" hidden="1" x14ac:dyDescent="0.25">
      <c r="A26" s="117" t="s">
        <v>145</v>
      </c>
      <c r="B26" s="118">
        <f>B25/B24</f>
        <v>5.3691275167785234E-2</v>
      </c>
      <c r="C26" s="118">
        <f>C25/C24</f>
        <v>5.46875E-2</v>
      </c>
      <c r="D26" s="124">
        <f>D25/D24</f>
        <v>0.31019004313862658</v>
      </c>
      <c r="E26" s="118">
        <f>E25/E24</f>
        <v>8.803778318943252E-2</v>
      </c>
      <c r="F26" s="120" t="s">
        <v>322</v>
      </c>
    </row>
    <row r="27" spans="1:6" s="120" customFormat="1" hidden="1" x14ac:dyDescent="0.25"/>
    <row r="28" spans="1:6" s="120" customFormat="1" hidden="1" x14ac:dyDescent="0.25">
      <c r="A28" s="119" t="s">
        <v>149</v>
      </c>
      <c r="B28" s="117" t="s">
        <v>143</v>
      </c>
      <c r="C28" s="117" t="s">
        <v>143</v>
      </c>
      <c r="D28" s="117" t="s">
        <v>143</v>
      </c>
      <c r="E28" s="117" t="s">
        <v>143</v>
      </c>
    </row>
    <row r="29" spans="1:6" s="120" customFormat="1" hidden="1" x14ac:dyDescent="0.25">
      <c r="A29" s="117" t="s">
        <v>160</v>
      </c>
      <c r="B29" s="121">
        <f>1390+510</f>
        <v>1900</v>
      </c>
      <c r="C29" s="121">
        <f>1330+420</f>
        <v>1750</v>
      </c>
      <c r="D29" s="121">
        <f>1189+184+494+0</f>
        <v>1867</v>
      </c>
      <c r="E29" s="121">
        <f>1240+0+478+0</f>
        <v>1718</v>
      </c>
    </row>
    <row r="30" spans="1:6" s="120" customFormat="1" hidden="1" x14ac:dyDescent="0.25">
      <c r="A30" s="117" t="s">
        <v>147</v>
      </c>
      <c r="B30" s="121">
        <f>1640+700</f>
        <v>2340</v>
      </c>
      <c r="C30" s="121">
        <f>1590+600</f>
        <v>2190</v>
      </c>
      <c r="D30" s="121">
        <f>2709+1172</f>
        <v>3881</v>
      </c>
      <c r="E30" s="121">
        <f>2062+715</f>
        <v>2777</v>
      </c>
    </row>
    <row r="31" spans="1:6" s="120" customFormat="1" hidden="1" x14ac:dyDescent="0.25">
      <c r="A31" s="117" t="s">
        <v>144</v>
      </c>
      <c r="B31" s="123">
        <f>B30-B29</f>
        <v>440</v>
      </c>
      <c r="C31" s="123">
        <f>C30-C29</f>
        <v>440</v>
      </c>
      <c r="D31" s="123">
        <f>D30-D29</f>
        <v>2014</v>
      </c>
      <c r="E31" s="123">
        <f>E30-E29</f>
        <v>1059</v>
      </c>
    </row>
    <row r="32" spans="1:6" s="120" customFormat="1" hidden="1" x14ac:dyDescent="0.25">
      <c r="A32" s="117" t="s">
        <v>145</v>
      </c>
      <c r="B32" s="118">
        <f>B31/B30</f>
        <v>0.18803418803418803</v>
      </c>
      <c r="C32" s="118">
        <f>C31/C30</f>
        <v>0.20091324200913241</v>
      </c>
      <c r="D32" s="118">
        <f>D31/D30</f>
        <v>0.51893841793352224</v>
      </c>
      <c r="E32" s="118">
        <f>E31/E30</f>
        <v>0.3813467770975873</v>
      </c>
    </row>
    <row r="33" spans="1:5" s="120" customFormat="1" hidden="1" x14ac:dyDescent="0.25"/>
    <row r="34" spans="1:5" s="120" customFormat="1" hidden="1" x14ac:dyDescent="0.25">
      <c r="A34" s="119" t="s">
        <v>134</v>
      </c>
      <c r="B34" s="117" t="s">
        <v>143</v>
      </c>
      <c r="C34" s="117" t="s">
        <v>143</v>
      </c>
      <c r="D34" s="117" t="s">
        <v>143</v>
      </c>
      <c r="E34" s="117" t="s">
        <v>143</v>
      </c>
    </row>
    <row r="35" spans="1:5" s="120" customFormat="1" hidden="1" x14ac:dyDescent="0.25">
      <c r="A35" s="117" t="s">
        <v>160</v>
      </c>
      <c r="B35" s="121">
        <v>720</v>
      </c>
      <c r="C35" s="121">
        <v>710</v>
      </c>
      <c r="D35" s="121">
        <f>844+0</f>
        <v>844</v>
      </c>
      <c r="E35" s="121">
        <f>764+0</f>
        <v>764</v>
      </c>
    </row>
    <row r="36" spans="1:5" s="120" customFormat="1" hidden="1" x14ac:dyDescent="0.25">
      <c r="A36" s="117" t="s">
        <v>147</v>
      </c>
      <c r="B36" s="121">
        <v>900</v>
      </c>
      <c r="C36" s="121">
        <v>890</v>
      </c>
      <c r="D36" s="122">
        <v>1010</v>
      </c>
      <c r="E36" s="122">
        <v>979</v>
      </c>
    </row>
    <row r="37" spans="1:5" s="120" customFormat="1" hidden="1" x14ac:dyDescent="0.25">
      <c r="A37" s="117" t="s">
        <v>144</v>
      </c>
      <c r="B37" s="123">
        <f>B36-B35</f>
        <v>180</v>
      </c>
      <c r="C37" s="123">
        <f>C36-C35</f>
        <v>180</v>
      </c>
      <c r="D37" s="123">
        <f>D36-D35</f>
        <v>166</v>
      </c>
      <c r="E37" s="123">
        <f>E36-E35</f>
        <v>215</v>
      </c>
    </row>
    <row r="38" spans="1:5" s="120" customFormat="1" hidden="1" x14ac:dyDescent="0.25">
      <c r="A38" s="117" t="s">
        <v>145</v>
      </c>
      <c r="B38" s="118">
        <f>B37/B36</f>
        <v>0.2</v>
      </c>
      <c r="C38" s="118">
        <f>C37/C36</f>
        <v>0.20224719101123595</v>
      </c>
      <c r="D38" s="118">
        <f>D37/D36</f>
        <v>0.16435643564356436</v>
      </c>
      <c r="E38" s="118">
        <f>E37/E36</f>
        <v>0.21961184882533197</v>
      </c>
    </row>
    <row r="39" spans="1:5" s="120" customFormat="1" hidden="1" x14ac:dyDescent="0.25"/>
    <row r="40" spans="1:5" s="120" customFormat="1" hidden="1" x14ac:dyDescent="0.25">
      <c r="A40" s="119" t="s">
        <v>240</v>
      </c>
      <c r="B40" s="117" t="s">
        <v>143</v>
      </c>
      <c r="C40" s="117" t="s">
        <v>143</v>
      </c>
      <c r="D40" s="117" t="s">
        <v>143</v>
      </c>
      <c r="E40" s="117" t="s">
        <v>143</v>
      </c>
    </row>
    <row r="41" spans="1:5" s="120" customFormat="1" hidden="1" x14ac:dyDescent="0.25">
      <c r="A41" s="117" t="s">
        <v>160</v>
      </c>
      <c r="B41" s="121">
        <f>1090</f>
        <v>1090</v>
      </c>
      <c r="C41" s="121">
        <f>970</f>
        <v>970</v>
      </c>
      <c r="D41" s="121">
        <f>951+0</f>
        <v>951</v>
      </c>
      <c r="E41" s="121">
        <f>1064+0</f>
        <v>1064</v>
      </c>
    </row>
    <row r="42" spans="1:5" s="120" customFormat="1" hidden="1" x14ac:dyDescent="0.25">
      <c r="A42" s="117" t="s">
        <v>147</v>
      </c>
      <c r="B42" s="121">
        <f>1180</f>
        <v>1180</v>
      </c>
      <c r="C42" s="121">
        <f>1140</f>
        <v>1140</v>
      </c>
      <c r="D42" s="122">
        <v>1232</v>
      </c>
      <c r="E42" s="122">
        <v>1402</v>
      </c>
    </row>
    <row r="43" spans="1:5" s="120" customFormat="1" hidden="1" x14ac:dyDescent="0.25">
      <c r="A43" s="117" t="s">
        <v>144</v>
      </c>
      <c r="B43" s="123">
        <f>B42-B41</f>
        <v>90</v>
      </c>
      <c r="C43" s="123">
        <f>C42-C41</f>
        <v>170</v>
      </c>
      <c r="D43" s="123">
        <f>D42-D41</f>
        <v>281</v>
      </c>
      <c r="E43" s="123">
        <f>E42-E41</f>
        <v>338</v>
      </c>
    </row>
    <row r="44" spans="1:5" s="120" customFormat="1" hidden="1" x14ac:dyDescent="0.25">
      <c r="A44" s="117" t="s">
        <v>145</v>
      </c>
      <c r="B44" s="118">
        <f>B43/B42</f>
        <v>7.6271186440677971E-2</v>
      </c>
      <c r="C44" s="118">
        <f>C43/C42</f>
        <v>0.14912280701754385</v>
      </c>
      <c r="D44" s="118">
        <f>D43/D42</f>
        <v>0.22808441558441558</v>
      </c>
      <c r="E44" s="118">
        <f>E43/E42</f>
        <v>0.24108416547788872</v>
      </c>
    </row>
    <row r="45" spans="1:5" s="120" customFormat="1" hidden="1" x14ac:dyDescent="0.25"/>
    <row r="46" spans="1:5" s="120" customFormat="1" hidden="1" x14ac:dyDescent="0.25">
      <c r="A46" s="119" t="s">
        <v>148</v>
      </c>
      <c r="B46" s="117" t="s">
        <v>143</v>
      </c>
      <c r="C46" s="117" t="s">
        <v>143</v>
      </c>
      <c r="D46" s="117" t="s">
        <v>143</v>
      </c>
      <c r="E46" s="117" t="s">
        <v>143</v>
      </c>
    </row>
    <row r="47" spans="1:5" s="120" customFormat="1" hidden="1" x14ac:dyDescent="0.25">
      <c r="A47" s="117" t="s">
        <v>160</v>
      </c>
      <c r="B47" s="121">
        <f>850+1980</f>
        <v>2830</v>
      </c>
      <c r="C47" s="121">
        <f>820+1990</f>
        <v>2810</v>
      </c>
      <c r="D47" s="121">
        <f>1667+267+792</f>
        <v>2726</v>
      </c>
      <c r="E47" s="121">
        <f>1584+343+985</f>
        <v>2912</v>
      </c>
    </row>
    <row r="48" spans="1:5" s="120" customFormat="1" hidden="1" x14ac:dyDescent="0.25">
      <c r="A48" s="117" t="s">
        <v>147</v>
      </c>
      <c r="B48" s="121">
        <f>1050+2250</f>
        <v>3300</v>
      </c>
      <c r="C48" s="121">
        <f>1070+2230</f>
        <v>3300</v>
      </c>
      <c r="D48" s="122">
        <f>2093+1343</f>
        <v>3436</v>
      </c>
      <c r="E48" s="122">
        <f>2106+1734</f>
        <v>3840</v>
      </c>
    </row>
    <row r="49" spans="1:6" s="120" customFormat="1" hidden="1" x14ac:dyDescent="0.25">
      <c r="A49" s="117" t="s">
        <v>144</v>
      </c>
      <c r="B49" s="123">
        <f>B48-B47</f>
        <v>470</v>
      </c>
      <c r="C49" s="123">
        <f>C48-C47</f>
        <v>490</v>
      </c>
      <c r="D49" s="123">
        <f>D48-D47</f>
        <v>710</v>
      </c>
      <c r="E49" s="123">
        <f>E48-E47</f>
        <v>928</v>
      </c>
    </row>
    <row r="50" spans="1:6" s="120" customFormat="1" hidden="1" x14ac:dyDescent="0.25">
      <c r="A50" s="117" t="s">
        <v>145</v>
      </c>
      <c r="B50" s="118">
        <f>B49/B48</f>
        <v>0.14242424242424243</v>
      </c>
      <c r="C50" s="118">
        <f>C49/C48</f>
        <v>0.1484848484848485</v>
      </c>
      <c r="D50" s="118">
        <f>D49/D48</f>
        <v>0.20663562281722933</v>
      </c>
      <c r="E50" s="118">
        <f>E49/E48</f>
        <v>0.24166666666666667</v>
      </c>
    </row>
    <row r="51" spans="1:6" s="120" customFormat="1" hidden="1" x14ac:dyDescent="0.25"/>
    <row r="52" spans="1:6" s="120" customFormat="1" hidden="1" x14ac:dyDescent="0.25">
      <c r="A52" s="119" t="s">
        <v>241</v>
      </c>
      <c r="B52" s="117" t="s">
        <v>143</v>
      </c>
      <c r="C52" s="117" t="s">
        <v>143</v>
      </c>
      <c r="D52" s="117" t="s">
        <v>143</v>
      </c>
      <c r="E52" s="117" t="s">
        <v>143</v>
      </c>
    </row>
    <row r="53" spans="1:6" s="120" customFormat="1" hidden="1" x14ac:dyDescent="0.25">
      <c r="A53" s="117" t="s">
        <v>160</v>
      </c>
      <c r="B53" s="121">
        <v>790</v>
      </c>
      <c r="C53" s="121">
        <v>720</v>
      </c>
      <c r="D53" s="121">
        <f>564+224+308</f>
        <v>1096</v>
      </c>
      <c r="E53" s="121">
        <f>546+256+346</f>
        <v>1148</v>
      </c>
    </row>
    <row r="54" spans="1:6" s="120" customFormat="1" hidden="1" x14ac:dyDescent="0.25">
      <c r="A54" s="117" t="s">
        <v>147</v>
      </c>
      <c r="B54" s="121">
        <v>1000</v>
      </c>
      <c r="C54" s="121">
        <v>970</v>
      </c>
      <c r="D54" s="122">
        <f>1245+569</f>
        <v>1814</v>
      </c>
      <c r="E54" s="125">
        <f>1002+570</f>
        <v>1572</v>
      </c>
    </row>
    <row r="55" spans="1:6" s="120" customFormat="1" hidden="1" x14ac:dyDescent="0.25">
      <c r="A55" s="117" t="s">
        <v>144</v>
      </c>
      <c r="B55" s="123">
        <f>B54-B53</f>
        <v>210</v>
      </c>
      <c r="C55" s="123">
        <f>C54-C53</f>
        <v>250</v>
      </c>
      <c r="D55" s="123">
        <f>D54-D53</f>
        <v>718</v>
      </c>
      <c r="E55" s="123">
        <f>E54-E53</f>
        <v>424</v>
      </c>
    </row>
    <row r="56" spans="1:6" s="120" customFormat="1" hidden="1" x14ac:dyDescent="0.25">
      <c r="A56" s="117" t="s">
        <v>145</v>
      </c>
      <c r="B56" s="118">
        <f>B55/B54</f>
        <v>0.21</v>
      </c>
      <c r="C56" s="118">
        <f>C55/C54</f>
        <v>0.25773195876288657</v>
      </c>
      <c r="D56" s="118">
        <f>D55/D54</f>
        <v>0.39581036383682472</v>
      </c>
      <c r="E56" s="118">
        <f>E55/E54</f>
        <v>0.26972010178117051</v>
      </c>
    </row>
    <row r="57" spans="1:6" s="120" customFormat="1" hidden="1" x14ac:dyDescent="0.25"/>
    <row r="58" spans="1:6" s="120" customFormat="1" hidden="1" x14ac:dyDescent="0.25">
      <c r="A58" s="119" t="s">
        <v>125</v>
      </c>
      <c r="B58" s="117" t="s">
        <v>143</v>
      </c>
      <c r="C58" s="117" t="s">
        <v>143</v>
      </c>
      <c r="D58" s="117" t="s">
        <v>143</v>
      </c>
      <c r="E58" s="117" t="s">
        <v>143</v>
      </c>
    </row>
    <row r="59" spans="1:6" s="120" customFormat="1" hidden="1" x14ac:dyDescent="0.25">
      <c r="A59" s="117" t="s">
        <v>160</v>
      </c>
      <c r="B59" s="121">
        <v>7520</v>
      </c>
      <c r="C59" s="121">
        <v>7150</v>
      </c>
      <c r="D59" s="121">
        <f>6127+856</f>
        <v>6983</v>
      </c>
      <c r="E59" s="121">
        <f>5856+676</f>
        <v>6532</v>
      </c>
    </row>
    <row r="60" spans="1:6" s="120" customFormat="1" hidden="1" x14ac:dyDescent="0.25">
      <c r="A60" s="117" t="s">
        <v>147</v>
      </c>
      <c r="B60" s="121">
        <v>8140</v>
      </c>
      <c r="C60" s="121">
        <v>7770</v>
      </c>
      <c r="D60" s="122">
        <v>9763</v>
      </c>
      <c r="E60" s="122">
        <v>7315</v>
      </c>
    </row>
    <row r="61" spans="1:6" s="120" customFormat="1" hidden="1" x14ac:dyDescent="0.25">
      <c r="A61" s="117" t="s">
        <v>144</v>
      </c>
      <c r="B61" s="123">
        <f>B60-B59</f>
        <v>620</v>
      </c>
      <c r="C61" s="123">
        <f>C60-C59</f>
        <v>620</v>
      </c>
      <c r="D61" s="123">
        <f>D60-D59</f>
        <v>2780</v>
      </c>
      <c r="E61" s="123">
        <f>E60-E59</f>
        <v>783</v>
      </c>
    </row>
    <row r="62" spans="1:6" s="120" customFormat="1" hidden="1" x14ac:dyDescent="0.25">
      <c r="A62" s="117" t="s">
        <v>145</v>
      </c>
      <c r="B62" s="118">
        <f>B61/B60</f>
        <v>7.6167076167076173E-2</v>
      </c>
      <c r="C62" s="118">
        <f>C61/C60</f>
        <v>7.9794079794079792E-2</v>
      </c>
      <c r="D62" s="118">
        <f>D61/D60</f>
        <v>0.28474854040766157</v>
      </c>
      <c r="E62" s="118">
        <f>E61/E60</f>
        <v>0.10704032809295967</v>
      </c>
      <c r="F62" s="120" t="s">
        <v>312</v>
      </c>
    </row>
    <row r="63" spans="1:6" s="120" customFormat="1" hidden="1" x14ac:dyDescent="0.25"/>
    <row r="64" spans="1:6" s="120" customFormat="1" hidden="1" x14ac:dyDescent="0.25">
      <c r="A64" s="119" t="s">
        <v>123</v>
      </c>
      <c r="B64" s="117" t="s">
        <v>143</v>
      </c>
      <c r="C64" s="117" t="s">
        <v>143</v>
      </c>
      <c r="D64" s="117" t="s">
        <v>143</v>
      </c>
      <c r="E64" s="117" t="s">
        <v>143</v>
      </c>
    </row>
    <row r="65" spans="1:6" s="120" customFormat="1" hidden="1" x14ac:dyDescent="0.25">
      <c r="A65" s="117" t="s">
        <v>160</v>
      </c>
      <c r="B65" s="121">
        <v>3870</v>
      </c>
      <c r="C65" s="121">
        <v>4730</v>
      </c>
      <c r="D65" s="121">
        <f>3023+1605</f>
        <v>4628</v>
      </c>
      <c r="E65" s="121">
        <f>3836+1421</f>
        <v>5257</v>
      </c>
    </row>
    <row r="66" spans="1:6" s="120" customFormat="1" hidden="1" x14ac:dyDescent="0.25">
      <c r="A66" s="117" t="s">
        <v>147</v>
      </c>
      <c r="B66" s="121">
        <v>5010</v>
      </c>
      <c r="C66" s="121">
        <v>5850</v>
      </c>
      <c r="D66" s="122">
        <v>8288</v>
      </c>
      <c r="E66" s="122">
        <v>7611</v>
      </c>
    </row>
    <row r="67" spans="1:6" s="120" customFormat="1" hidden="1" x14ac:dyDescent="0.25">
      <c r="A67" s="117" t="s">
        <v>144</v>
      </c>
      <c r="B67" s="123">
        <f>B66-B65</f>
        <v>1140</v>
      </c>
      <c r="C67" s="123">
        <f>C66-C65</f>
        <v>1120</v>
      </c>
      <c r="D67" s="123">
        <f>D66-D65</f>
        <v>3660</v>
      </c>
      <c r="E67" s="123">
        <f>E66-E65</f>
        <v>2354</v>
      </c>
    </row>
    <row r="68" spans="1:6" s="120" customFormat="1" hidden="1" x14ac:dyDescent="0.25">
      <c r="A68" s="117" t="s">
        <v>145</v>
      </c>
      <c r="B68" s="118">
        <f>B67/B66</f>
        <v>0.22754491017964071</v>
      </c>
      <c r="C68" s="118">
        <f>C67/C66</f>
        <v>0.19145299145299147</v>
      </c>
      <c r="D68" s="118">
        <f>D67/D66</f>
        <v>0.44160231660231658</v>
      </c>
      <c r="E68" s="118">
        <f>E67/E66</f>
        <v>0.30928918670345551</v>
      </c>
      <c r="F68" s="120" t="s">
        <v>325</v>
      </c>
    </row>
    <row r="69" spans="1:6" s="120" customFormat="1" hidden="1" x14ac:dyDescent="0.25"/>
    <row r="70" spans="1:6" s="120" customFormat="1" hidden="1" x14ac:dyDescent="0.25">
      <c r="A70" s="119" t="s">
        <v>162</v>
      </c>
      <c r="B70" s="117" t="s">
        <v>143</v>
      </c>
      <c r="C70" s="117" t="s">
        <v>143</v>
      </c>
      <c r="D70" s="117" t="s">
        <v>143</v>
      </c>
      <c r="E70" s="117" t="s">
        <v>143</v>
      </c>
    </row>
    <row r="71" spans="1:6" s="120" customFormat="1" hidden="1" x14ac:dyDescent="0.25">
      <c r="A71" s="117" t="s">
        <v>160</v>
      </c>
      <c r="B71" s="121">
        <v>1510</v>
      </c>
      <c r="C71" s="121">
        <v>1570</v>
      </c>
      <c r="D71" s="121">
        <f>1705+0</f>
        <v>1705</v>
      </c>
      <c r="E71" s="121">
        <f>1415+0</f>
        <v>1415</v>
      </c>
    </row>
    <row r="72" spans="1:6" s="120" customFormat="1" hidden="1" x14ac:dyDescent="0.25">
      <c r="A72" s="117" t="s">
        <v>147</v>
      </c>
      <c r="B72" s="121">
        <v>1960</v>
      </c>
      <c r="C72" s="121">
        <v>1890</v>
      </c>
      <c r="D72" s="122">
        <v>2222</v>
      </c>
      <c r="E72" s="122">
        <v>1962</v>
      </c>
    </row>
    <row r="73" spans="1:6" s="120" customFormat="1" hidden="1" x14ac:dyDescent="0.25">
      <c r="A73" s="117" t="s">
        <v>144</v>
      </c>
      <c r="B73" s="123">
        <f>B72-B71</f>
        <v>450</v>
      </c>
      <c r="C73" s="123">
        <f>C72-C71</f>
        <v>320</v>
      </c>
      <c r="D73" s="123">
        <f>D72-D71</f>
        <v>517</v>
      </c>
      <c r="E73" s="123">
        <f>E72-E71</f>
        <v>547</v>
      </c>
    </row>
    <row r="74" spans="1:6" s="120" customFormat="1" hidden="1" x14ac:dyDescent="0.25">
      <c r="A74" s="117" t="s">
        <v>145</v>
      </c>
      <c r="B74" s="118">
        <f>B73/B72</f>
        <v>0.22959183673469388</v>
      </c>
      <c r="C74" s="118">
        <f>C73/C72</f>
        <v>0.1693121693121693</v>
      </c>
      <c r="D74" s="118">
        <f>D73/D72</f>
        <v>0.23267326732673269</v>
      </c>
      <c r="E74" s="118">
        <f>E73/E72</f>
        <v>0.27879714576962283</v>
      </c>
      <c r="F74" s="120" t="s">
        <v>272</v>
      </c>
    </row>
    <row r="75" spans="1:6" s="120" customFormat="1" hidden="1" x14ac:dyDescent="0.25"/>
    <row r="76" spans="1:6" s="120" customFormat="1" hidden="1" x14ac:dyDescent="0.25">
      <c r="A76" s="119" t="s">
        <v>137</v>
      </c>
      <c r="B76" s="117" t="s">
        <v>143</v>
      </c>
      <c r="C76" s="117" t="s">
        <v>143</v>
      </c>
      <c r="D76" s="117" t="s">
        <v>143</v>
      </c>
      <c r="E76" s="117" t="s">
        <v>143</v>
      </c>
    </row>
    <row r="77" spans="1:6" s="120" customFormat="1" hidden="1" x14ac:dyDescent="0.25">
      <c r="A77" s="117" t="s">
        <v>160</v>
      </c>
      <c r="B77" s="121">
        <v>3850</v>
      </c>
      <c r="C77" s="121">
        <v>7240</v>
      </c>
      <c r="D77" s="121">
        <f>5983+969</f>
        <v>6952</v>
      </c>
      <c r="E77" s="121">
        <f>6000+1085</f>
        <v>7085</v>
      </c>
    </row>
    <row r="78" spans="1:6" s="120" customFormat="1" hidden="1" x14ac:dyDescent="0.25">
      <c r="A78" s="117" t="s">
        <v>147</v>
      </c>
      <c r="B78" s="121">
        <v>4810</v>
      </c>
      <c r="C78" s="121">
        <v>8840</v>
      </c>
      <c r="D78" s="122">
        <v>15635</v>
      </c>
      <c r="E78" s="122">
        <v>10049</v>
      </c>
    </row>
    <row r="79" spans="1:6" s="120" customFormat="1" hidden="1" x14ac:dyDescent="0.25">
      <c r="A79" s="117" t="s">
        <v>144</v>
      </c>
      <c r="B79" s="123">
        <f>B78-B77</f>
        <v>960</v>
      </c>
      <c r="C79" s="123">
        <f>C78-C77</f>
        <v>1600</v>
      </c>
      <c r="D79" s="123">
        <f>D78-D77</f>
        <v>8683</v>
      </c>
      <c r="E79" s="123">
        <f>E78-E77</f>
        <v>2964</v>
      </c>
    </row>
    <row r="80" spans="1:6" s="120" customFormat="1" hidden="1" x14ac:dyDescent="0.25">
      <c r="A80" s="117" t="s">
        <v>145</v>
      </c>
      <c r="B80" s="118">
        <f>B79/B78</f>
        <v>0.1995841995841996</v>
      </c>
      <c r="C80" s="118">
        <f>C79/C78</f>
        <v>0.18099547511312217</v>
      </c>
      <c r="D80" s="124">
        <f>D79/D78</f>
        <v>0.55535657179405185</v>
      </c>
      <c r="E80" s="124">
        <f>E79/E78</f>
        <v>0.29495472186287192</v>
      </c>
      <c r="F80" s="120" t="s">
        <v>324</v>
      </c>
    </row>
    <row r="81" spans="1:6" s="120" customFormat="1" hidden="1" x14ac:dyDescent="0.25"/>
    <row r="82" spans="1:6" s="120" customFormat="1" hidden="1" x14ac:dyDescent="0.25">
      <c r="A82" s="119" t="s">
        <v>155</v>
      </c>
      <c r="B82" s="117" t="s">
        <v>143</v>
      </c>
      <c r="C82" s="117" t="s">
        <v>143</v>
      </c>
      <c r="D82" s="117" t="s">
        <v>143</v>
      </c>
      <c r="E82" s="117" t="s">
        <v>143</v>
      </c>
    </row>
    <row r="83" spans="1:6" s="120" customFormat="1" hidden="1" x14ac:dyDescent="0.25">
      <c r="A83" s="117" t="s">
        <v>160</v>
      </c>
      <c r="B83" s="121"/>
      <c r="C83" s="121">
        <f>4740/3*4</f>
        <v>6320</v>
      </c>
      <c r="D83" s="121">
        <f>5402+222</f>
        <v>5624</v>
      </c>
      <c r="E83" s="121">
        <f>4920+711</f>
        <v>5631</v>
      </c>
    </row>
    <row r="84" spans="1:6" s="120" customFormat="1" hidden="1" x14ac:dyDescent="0.25">
      <c r="A84" s="117" t="s">
        <v>147</v>
      </c>
      <c r="B84" s="121"/>
      <c r="C84" s="121">
        <v>7600</v>
      </c>
      <c r="D84" s="122">
        <v>7772</v>
      </c>
      <c r="E84" s="122">
        <v>7408</v>
      </c>
    </row>
    <row r="85" spans="1:6" s="120" customFormat="1" hidden="1" x14ac:dyDescent="0.25">
      <c r="A85" s="117" t="s">
        <v>144</v>
      </c>
      <c r="B85" s="123"/>
      <c r="C85" s="123">
        <f>C84-C83</f>
        <v>1280</v>
      </c>
      <c r="D85" s="123">
        <f>D84-D83</f>
        <v>2148</v>
      </c>
      <c r="E85" s="123">
        <f>E84-E83</f>
        <v>1777</v>
      </c>
    </row>
    <row r="86" spans="1:6" s="120" customFormat="1" hidden="1" x14ac:dyDescent="0.25">
      <c r="A86" s="117" t="s">
        <v>145</v>
      </c>
      <c r="B86" s="118"/>
      <c r="C86" s="118">
        <f>C85/C84</f>
        <v>0.16842105263157894</v>
      </c>
      <c r="D86" s="118">
        <f>D85/D84</f>
        <v>0.276376737004632</v>
      </c>
      <c r="E86" s="118">
        <f>E85/E84</f>
        <v>0.23987580993520519</v>
      </c>
    </row>
    <row r="87" spans="1:6" s="120" customFormat="1" hidden="1" x14ac:dyDescent="0.25"/>
    <row r="88" spans="1:6" s="120" customFormat="1" hidden="1" x14ac:dyDescent="0.25">
      <c r="A88" s="119" t="s">
        <v>251</v>
      </c>
      <c r="B88" s="117" t="s">
        <v>143</v>
      </c>
      <c r="C88" s="117" t="s">
        <v>143</v>
      </c>
      <c r="D88" s="117" t="s">
        <v>143</v>
      </c>
      <c r="E88" s="117" t="s">
        <v>143</v>
      </c>
    </row>
    <row r="89" spans="1:6" s="120" customFormat="1" hidden="1" x14ac:dyDescent="0.25">
      <c r="A89" s="117" t="s">
        <v>160</v>
      </c>
      <c r="B89" s="121"/>
      <c r="C89" s="121"/>
      <c r="D89" s="121">
        <f>3160+886</f>
        <v>4046</v>
      </c>
      <c r="E89" s="121">
        <f>2930+840</f>
        <v>3770</v>
      </c>
    </row>
    <row r="90" spans="1:6" s="120" customFormat="1" hidden="1" x14ac:dyDescent="0.25">
      <c r="A90" s="117" t="s">
        <v>147</v>
      </c>
      <c r="B90" s="121"/>
      <c r="C90" s="121"/>
      <c r="D90" s="122">
        <v>6124</v>
      </c>
      <c r="E90" s="122">
        <v>4112</v>
      </c>
    </row>
    <row r="91" spans="1:6" s="120" customFormat="1" hidden="1" x14ac:dyDescent="0.25">
      <c r="A91" s="117" t="s">
        <v>144</v>
      </c>
      <c r="B91" s="123"/>
      <c r="C91" s="123"/>
      <c r="D91" s="123">
        <f>D90-D89</f>
        <v>2078</v>
      </c>
      <c r="E91" s="123">
        <f>E90-E89</f>
        <v>342</v>
      </c>
    </row>
    <row r="92" spans="1:6" s="120" customFormat="1" hidden="1" x14ac:dyDescent="0.25">
      <c r="A92" s="117" t="s">
        <v>145</v>
      </c>
      <c r="B92" s="118"/>
      <c r="C92" s="118"/>
      <c r="D92" s="118">
        <f>D91/D90</f>
        <v>0.33932070542129328</v>
      </c>
      <c r="E92" s="118">
        <f>E91/E90</f>
        <v>8.317120622568093E-2</v>
      </c>
      <c r="F92" s="120" t="s">
        <v>313</v>
      </c>
    </row>
    <row r="93" spans="1:6" s="120" customFormat="1" hidden="1" x14ac:dyDescent="0.25"/>
    <row r="94" spans="1:6" s="120" customFormat="1" hidden="1" x14ac:dyDescent="0.25">
      <c r="A94" s="119" t="s">
        <v>252</v>
      </c>
      <c r="B94" s="117" t="s">
        <v>143</v>
      </c>
      <c r="C94" s="117" t="s">
        <v>143</v>
      </c>
      <c r="D94" s="117" t="s">
        <v>143</v>
      </c>
      <c r="E94" s="117" t="s">
        <v>143</v>
      </c>
    </row>
    <row r="95" spans="1:6" s="120" customFormat="1" hidden="1" x14ac:dyDescent="0.25">
      <c r="A95" s="117" t="s">
        <v>160</v>
      </c>
      <c r="B95" s="121"/>
      <c r="C95" s="121"/>
      <c r="D95" s="121">
        <f>13541+2118</f>
        <v>15659</v>
      </c>
      <c r="E95" s="121">
        <f>13179+2833</f>
        <v>16012</v>
      </c>
    </row>
    <row r="96" spans="1:6" s="120" customFormat="1" hidden="1" x14ac:dyDescent="0.25">
      <c r="A96" s="117" t="s">
        <v>147</v>
      </c>
      <c r="B96" s="121"/>
      <c r="C96" s="121"/>
      <c r="D96" s="122">
        <v>22217</v>
      </c>
      <c r="E96" s="122">
        <v>25498</v>
      </c>
    </row>
    <row r="97" spans="1:6" s="120" customFormat="1" hidden="1" x14ac:dyDescent="0.25">
      <c r="A97" s="117" t="s">
        <v>144</v>
      </c>
      <c r="B97" s="123"/>
      <c r="C97" s="123"/>
      <c r="D97" s="123">
        <f>D96-D95</f>
        <v>6558</v>
      </c>
      <c r="E97" s="123">
        <f>E96-E95</f>
        <v>9486</v>
      </c>
      <c r="F97" s="120" t="s">
        <v>329</v>
      </c>
    </row>
    <row r="98" spans="1:6" s="120" customFormat="1" hidden="1" x14ac:dyDescent="0.25">
      <c r="A98" s="117" t="s">
        <v>145</v>
      </c>
      <c r="B98" s="118"/>
      <c r="C98" s="118"/>
      <c r="D98" s="118">
        <f>D97/D96</f>
        <v>0.29517936715128057</v>
      </c>
      <c r="E98" s="118">
        <f>E97/E96</f>
        <v>0.37202917875911834</v>
      </c>
    </row>
    <row r="99" spans="1:6" s="120" customFormat="1" hidden="1" x14ac:dyDescent="0.25"/>
    <row r="100" spans="1:6" s="120" customFormat="1" hidden="1" x14ac:dyDescent="0.25">
      <c r="A100" s="119" t="s">
        <v>266</v>
      </c>
      <c r="B100" s="117" t="s">
        <v>143</v>
      </c>
      <c r="C100" s="117" t="s">
        <v>143</v>
      </c>
      <c r="D100" s="117" t="s">
        <v>143</v>
      </c>
      <c r="E100" s="117" t="s">
        <v>143</v>
      </c>
    </row>
    <row r="101" spans="1:6" s="120" customFormat="1" hidden="1" x14ac:dyDescent="0.25">
      <c r="A101" s="117" t="s">
        <v>160</v>
      </c>
      <c r="B101" s="121"/>
      <c r="C101" s="121">
        <v>700</v>
      </c>
      <c r="D101" s="126">
        <f>6421+545+228+0</f>
        <v>7194</v>
      </c>
      <c r="E101" s="121">
        <f>6127+597+253+0</f>
        <v>6977</v>
      </c>
    </row>
    <row r="102" spans="1:6" s="120" customFormat="1" hidden="1" x14ac:dyDescent="0.25">
      <c r="A102" s="117" t="s">
        <v>147</v>
      </c>
      <c r="B102" s="121"/>
      <c r="C102" s="121">
        <v>800</v>
      </c>
      <c r="D102" s="126">
        <f>12053+236</f>
        <v>12289</v>
      </c>
      <c r="E102" s="121">
        <f>7183+279</f>
        <v>7462</v>
      </c>
    </row>
    <row r="103" spans="1:6" s="120" customFormat="1" hidden="1" x14ac:dyDescent="0.25">
      <c r="A103" s="117" t="s">
        <v>144</v>
      </c>
      <c r="B103" s="123"/>
      <c r="C103" s="123">
        <f>C102-C101</f>
        <v>100</v>
      </c>
      <c r="D103" s="123">
        <f>D102-D101</f>
        <v>5095</v>
      </c>
      <c r="E103" s="123">
        <f>E102-E101</f>
        <v>485</v>
      </c>
    </row>
    <row r="104" spans="1:6" s="120" customFormat="1" hidden="1" x14ac:dyDescent="0.25">
      <c r="A104" s="117" t="s">
        <v>145</v>
      </c>
      <c r="B104" s="118"/>
      <c r="C104" s="118">
        <f>C103/C102</f>
        <v>0.125</v>
      </c>
      <c r="D104" s="118">
        <f>D103/D102</f>
        <v>0.41459842135242903</v>
      </c>
      <c r="E104" s="118">
        <f>E103/E102</f>
        <v>6.4995979630125975E-2</v>
      </c>
      <c r="F104" s="120" t="s">
        <v>311</v>
      </c>
    </row>
    <row r="105" spans="1:6" s="120" customFormat="1" hidden="1" x14ac:dyDescent="0.25"/>
    <row r="106" spans="1:6" s="120" customFormat="1" hidden="1" x14ac:dyDescent="0.25">
      <c r="A106" s="119" t="s">
        <v>250</v>
      </c>
      <c r="B106" s="117" t="s">
        <v>143</v>
      </c>
      <c r="C106" s="117" t="s">
        <v>143</v>
      </c>
      <c r="D106" s="117" t="s">
        <v>143</v>
      </c>
      <c r="E106" s="117" t="s">
        <v>143</v>
      </c>
    </row>
    <row r="107" spans="1:6" s="120" customFormat="1" hidden="1" x14ac:dyDescent="0.25">
      <c r="A107" s="117" t="s">
        <v>160</v>
      </c>
      <c r="B107" s="121"/>
      <c r="C107" s="121">
        <v>700</v>
      </c>
      <c r="D107" s="121">
        <f>3935+241</f>
        <v>4176</v>
      </c>
      <c r="E107" s="121">
        <f>3792+146</f>
        <v>3938</v>
      </c>
    </row>
    <row r="108" spans="1:6" s="120" customFormat="1" hidden="1" x14ac:dyDescent="0.25">
      <c r="A108" s="117" t="s">
        <v>147</v>
      </c>
      <c r="B108" s="121"/>
      <c r="C108" s="121">
        <v>800</v>
      </c>
      <c r="D108" s="122">
        <v>5425</v>
      </c>
      <c r="E108" s="122">
        <v>4975</v>
      </c>
    </row>
    <row r="109" spans="1:6" s="120" customFormat="1" hidden="1" x14ac:dyDescent="0.25">
      <c r="A109" s="117" t="s">
        <v>144</v>
      </c>
      <c r="B109" s="123"/>
      <c r="C109" s="123">
        <f>C108-C107</f>
        <v>100</v>
      </c>
      <c r="D109" s="123">
        <f>D108-D107</f>
        <v>1249</v>
      </c>
      <c r="E109" s="123">
        <f>E108-E107</f>
        <v>1037</v>
      </c>
    </row>
    <row r="110" spans="1:6" s="120" customFormat="1" hidden="1" x14ac:dyDescent="0.25">
      <c r="A110" s="117" t="s">
        <v>145</v>
      </c>
      <c r="B110" s="118"/>
      <c r="C110" s="118">
        <f>C109/C108</f>
        <v>0.125</v>
      </c>
      <c r="D110" s="118">
        <f>D109/D108</f>
        <v>0.23023041474654377</v>
      </c>
      <c r="E110" s="118">
        <f>E109/E108</f>
        <v>0.20844221105527638</v>
      </c>
      <c r="F110" s="120" t="s">
        <v>311</v>
      </c>
    </row>
    <row r="111" spans="1:6" s="120" customFormat="1" hidden="1" x14ac:dyDescent="0.25"/>
    <row r="112" spans="1:6" s="120" customFormat="1" hidden="1" x14ac:dyDescent="0.25">
      <c r="A112" s="119" t="s">
        <v>138</v>
      </c>
      <c r="B112" s="117" t="s">
        <v>143</v>
      </c>
      <c r="C112" s="117" t="s">
        <v>143</v>
      </c>
      <c r="D112" s="117" t="s">
        <v>143</v>
      </c>
      <c r="E112" s="117" t="s">
        <v>143</v>
      </c>
    </row>
    <row r="113" spans="1:5" s="120" customFormat="1" hidden="1" x14ac:dyDescent="0.25">
      <c r="A113" s="117" t="s">
        <v>160</v>
      </c>
      <c r="B113" s="121"/>
      <c r="C113" s="121">
        <v>700</v>
      </c>
      <c r="D113" s="126">
        <v>785</v>
      </c>
      <c r="E113" s="121">
        <f>791+0</f>
        <v>791</v>
      </c>
    </row>
    <row r="114" spans="1:5" s="120" customFormat="1" hidden="1" x14ac:dyDescent="0.25">
      <c r="A114" s="117" t="s">
        <v>147</v>
      </c>
      <c r="B114" s="121"/>
      <c r="C114" s="121">
        <v>800</v>
      </c>
      <c r="D114" s="127">
        <v>2358</v>
      </c>
      <c r="E114" s="122">
        <v>1059</v>
      </c>
    </row>
    <row r="115" spans="1:5" s="120" customFormat="1" hidden="1" x14ac:dyDescent="0.25">
      <c r="A115" s="117" t="s">
        <v>144</v>
      </c>
      <c r="B115" s="123"/>
      <c r="C115" s="123">
        <f>C114-C113</f>
        <v>100</v>
      </c>
      <c r="D115" s="123">
        <f>D114-D113</f>
        <v>1573</v>
      </c>
      <c r="E115" s="123">
        <f>E114-E113</f>
        <v>268</v>
      </c>
    </row>
    <row r="116" spans="1:5" s="120" customFormat="1" hidden="1" x14ac:dyDescent="0.25">
      <c r="A116" s="117" t="s">
        <v>145</v>
      </c>
      <c r="B116" s="118"/>
      <c r="C116" s="118">
        <f>C115/C114</f>
        <v>0.125</v>
      </c>
      <c r="D116" s="118">
        <f>D115/D114</f>
        <v>0.66709075487701441</v>
      </c>
      <c r="E116" s="118">
        <f>E115/E114</f>
        <v>0.2530689329556185</v>
      </c>
    </row>
    <row r="117" spans="1:5" s="120" customFormat="1" hidden="1" x14ac:dyDescent="0.25">
      <c r="A117" s="117"/>
      <c r="B117" s="118"/>
      <c r="C117" s="118"/>
    </row>
    <row r="118" spans="1:5" s="120" customFormat="1" hidden="1" x14ac:dyDescent="0.25">
      <c r="A118" s="119" t="s">
        <v>139</v>
      </c>
      <c r="B118" s="117" t="s">
        <v>143</v>
      </c>
      <c r="C118" s="117" t="s">
        <v>143</v>
      </c>
      <c r="D118" s="117" t="s">
        <v>143</v>
      </c>
      <c r="E118" s="117" t="s">
        <v>143</v>
      </c>
    </row>
    <row r="119" spans="1:5" s="120" customFormat="1" hidden="1" x14ac:dyDescent="0.25">
      <c r="A119" s="117" t="s">
        <v>160</v>
      </c>
      <c r="B119" s="121"/>
      <c r="C119" s="121">
        <v>530</v>
      </c>
      <c r="D119" s="121">
        <f>587</f>
        <v>587</v>
      </c>
      <c r="E119" s="121">
        <f>745</f>
        <v>745</v>
      </c>
    </row>
    <row r="120" spans="1:5" s="120" customFormat="1" hidden="1" x14ac:dyDescent="0.25">
      <c r="A120" s="117" t="s">
        <v>147</v>
      </c>
      <c r="B120" s="121"/>
      <c r="C120" s="121">
        <v>630</v>
      </c>
      <c r="D120" s="122">
        <v>1140</v>
      </c>
      <c r="E120" s="122">
        <v>1202</v>
      </c>
    </row>
    <row r="121" spans="1:5" s="120" customFormat="1" hidden="1" x14ac:dyDescent="0.25">
      <c r="A121" s="117" t="s">
        <v>144</v>
      </c>
      <c r="B121" s="123"/>
      <c r="C121" s="123">
        <f>C120-C119</f>
        <v>100</v>
      </c>
      <c r="D121" s="123">
        <f>D120-D119</f>
        <v>553</v>
      </c>
      <c r="E121" s="123">
        <f>E120-E119</f>
        <v>457</v>
      </c>
    </row>
    <row r="122" spans="1:5" s="120" customFormat="1" hidden="1" x14ac:dyDescent="0.25">
      <c r="A122" s="117" t="s">
        <v>145</v>
      </c>
      <c r="B122" s="118"/>
      <c r="C122" s="118">
        <f>C121/C120</f>
        <v>0.15873015873015872</v>
      </c>
      <c r="D122" s="118">
        <f>D121/D120</f>
        <v>0.48508771929824562</v>
      </c>
      <c r="E122" s="118">
        <f>E121/E120</f>
        <v>0.38019966722129783</v>
      </c>
    </row>
    <row r="123" spans="1:5" s="120" customFormat="1" hidden="1" x14ac:dyDescent="0.25">
      <c r="A123" s="117"/>
      <c r="B123" s="118"/>
      <c r="C123" s="118"/>
    </row>
    <row r="124" spans="1:5" s="120" customFormat="1" hidden="1" x14ac:dyDescent="0.25">
      <c r="A124" s="119" t="s">
        <v>140</v>
      </c>
      <c r="B124" s="117" t="s">
        <v>143</v>
      </c>
      <c r="C124" s="117" t="s">
        <v>143</v>
      </c>
      <c r="D124" s="117" t="s">
        <v>143</v>
      </c>
      <c r="E124" s="117" t="s">
        <v>143</v>
      </c>
    </row>
    <row r="125" spans="1:5" s="120" customFormat="1" hidden="1" x14ac:dyDescent="0.25">
      <c r="A125" s="117" t="s">
        <v>160</v>
      </c>
      <c r="B125" s="121"/>
      <c r="C125" s="121">
        <v>660</v>
      </c>
      <c r="D125" s="121">
        <f>746</f>
        <v>746</v>
      </c>
      <c r="E125" s="121">
        <f>635</f>
        <v>635</v>
      </c>
    </row>
    <row r="126" spans="1:5" s="120" customFormat="1" hidden="1" x14ac:dyDescent="0.25">
      <c r="A126" s="117" t="s">
        <v>147</v>
      </c>
      <c r="B126" s="121"/>
      <c r="C126" s="121">
        <v>760</v>
      </c>
      <c r="D126" s="121">
        <v>984</v>
      </c>
      <c r="E126" s="121">
        <v>905</v>
      </c>
    </row>
    <row r="127" spans="1:5" s="120" customFormat="1" hidden="1" x14ac:dyDescent="0.25">
      <c r="A127" s="117" t="s">
        <v>144</v>
      </c>
      <c r="B127" s="123"/>
      <c r="C127" s="123">
        <f>C126-C125</f>
        <v>100</v>
      </c>
      <c r="D127" s="123">
        <f>D126-D125</f>
        <v>238</v>
      </c>
      <c r="E127" s="123">
        <f>E126-E125</f>
        <v>270</v>
      </c>
    </row>
    <row r="128" spans="1:5" s="120" customFormat="1" hidden="1" x14ac:dyDescent="0.25">
      <c r="A128" s="117" t="s">
        <v>145</v>
      </c>
      <c r="B128" s="118"/>
      <c r="C128" s="118">
        <f>C127/C126</f>
        <v>0.13157894736842105</v>
      </c>
      <c r="D128" s="118">
        <f>D127/D126</f>
        <v>0.241869918699187</v>
      </c>
      <c r="E128" s="118">
        <f>E127/E126</f>
        <v>0.2983425414364641</v>
      </c>
    </row>
    <row r="129" spans="1:20" s="120" customFormat="1" hidden="1" x14ac:dyDescent="0.25">
      <c r="A129" s="117"/>
      <c r="B129" s="118"/>
      <c r="C129" s="118"/>
    </row>
    <row r="130" spans="1:20" s="120" customFormat="1" hidden="1" x14ac:dyDescent="0.25">
      <c r="A130" s="119" t="s">
        <v>141</v>
      </c>
      <c r="B130" s="117" t="s">
        <v>143</v>
      </c>
      <c r="C130" s="117" t="s">
        <v>143</v>
      </c>
      <c r="D130" s="117" t="s">
        <v>143</v>
      </c>
      <c r="E130" s="117" t="s">
        <v>143</v>
      </c>
    </row>
    <row r="131" spans="1:20" s="120" customFormat="1" hidden="1" x14ac:dyDescent="0.25">
      <c r="A131" s="117" t="s">
        <v>160</v>
      </c>
      <c r="B131" s="121"/>
      <c r="C131" s="121">
        <v>530</v>
      </c>
      <c r="D131" s="121">
        <f>636+0</f>
        <v>636</v>
      </c>
      <c r="E131" s="121">
        <f>699+0</f>
        <v>699</v>
      </c>
    </row>
    <row r="132" spans="1:20" s="120" customFormat="1" hidden="1" x14ac:dyDescent="0.25">
      <c r="A132" s="117" t="s">
        <v>147</v>
      </c>
      <c r="B132" s="121"/>
      <c r="C132" s="121">
        <v>620</v>
      </c>
      <c r="D132" s="122">
        <v>962</v>
      </c>
      <c r="E132" s="122">
        <v>1263</v>
      </c>
    </row>
    <row r="133" spans="1:20" s="120" customFormat="1" hidden="1" x14ac:dyDescent="0.25">
      <c r="A133" s="117" t="s">
        <v>144</v>
      </c>
      <c r="B133" s="123"/>
      <c r="C133" s="123">
        <f>C132-C131</f>
        <v>90</v>
      </c>
      <c r="D133" s="123">
        <f>D132-D131</f>
        <v>326</v>
      </c>
      <c r="E133" s="123">
        <f>E132-E131</f>
        <v>564</v>
      </c>
    </row>
    <row r="134" spans="1:20" s="120" customFormat="1" hidden="1" x14ac:dyDescent="0.25">
      <c r="A134" s="117" t="s">
        <v>145</v>
      </c>
      <c r="B134" s="118"/>
      <c r="C134" s="118">
        <f>C133/C132</f>
        <v>0.14516129032258066</v>
      </c>
      <c r="D134" s="118">
        <f>D133/D132</f>
        <v>0.3388773388773389</v>
      </c>
      <c r="E134" s="118">
        <f>E133/E132</f>
        <v>0.44655581947743467</v>
      </c>
    </row>
    <row r="135" spans="1:20" x14ac:dyDescent="0.25">
      <c r="A135" s="32"/>
      <c r="B135" s="51"/>
      <c r="C135" s="51"/>
    </row>
    <row r="136" spans="1:20" x14ac:dyDescent="0.25">
      <c r="A136" s="54" t="s">
        <v>229</v>
      </c>
      <c r="B136" s="51"/>
      <c r="C136" s="51"/>
    </row>
    <row r="137" spans="1:20" x14ac:dyDescent="0.25">
      <c r="A137" s="31" t="s">
        <v>330</v>
      </c>
      <c r="B137" s="26">
        <v>2014</v>
      </c>
      <c r="C137" s="26">
        <f>B137+1</f>
        <v>2015</v>
      </c>
      <c r="D137" s="26">
        <f>C137+1</f>
        <v>2016</v>
      </c>
      <c r="E137" s="26">
        <f t="shared" ref="E137" si="0">D137+1</f>
        <v>2017</v>
      </c>
      <c r="F137" s="26">
        <f>E137+1</f>
        <v>2018</v>
      </c>
      <c r="G137" s="26">
        <f t="shared" ref="G137:Q137" si="1">F137+1</f>
        <v>2019</v>
      </c>
      <c r="H137" s="26">
        <f t="shared" si="1"/>
        <v>2020</v>
      </c>
      <c r="I137" s="26">
        <f t="shared" si="1"/>
        <v>2021</v>
      </c>
      <c r="J137" s="26">
        <f t="shared" si="1"/>
        <v>2022</v>
      </c>
      <c r="K137" s="26">
        <f t="shared" si="1"/>
        <v>2023</v>
      </c>
      <c r="L137" s="26">
        <f t="shared" si="1"/>
        <v>2024</v>
      </c>
      <c r="M137" s="26">
        <f t="shared" si="1"/>
        <v>2025</v>
      </c>
      <c r="N137" s="26">
        <f t="shared" si="1"/>
        <v>2026</v>
      </c>
      <c r="O137" s="26">
        <f t="shared" si="1"/>
        <v>2027</v>
      </c>
      <c r="P137" s="26">
        <f t="shared" si="1"/>
        <v>2028</v>
      </c>
      <c r="Q137" s="26">
        <f t="shared" si="1"/>
        <v>2029</v>
      </c>
      <c r="R137" s="26">
        <f t="shared" ref="R137" si="2">Q137+1</f>
        <v>2030</v>
      </c>
      <c r="S137" s="26">
        <f t="shared" ref="S137" si="3">R137+1</f>
        <v>2031</v>
      </c>
      <c r="T137" s="26">
        <f t="shared" ref="T137" si="4">S137+1</f>
        <v>2032</v>
      </c>
    </row>
    <row r="138" spans="1:20" x14ac:dyDescent="0.25">
      <c r="A138" s="52" t="s">
        <v>167</v>
      </c>
      <c r="B138" s="25">
        <f>'Majapidamiste nõudlus asulates'!D83</f>
        <v>3050</v>
      </c>
      <c r="C138" s="25">
        <f>'Majapidamiste nõudlus asulates'!E83</f>
        <v>3654.6571494391319</v>
      </c>
      <c r="D138" s="25">
        <f>'Majapidamiste nõudlus asulates'!F83</f>
        <v>3023</v>
      </c>
      <c r="E138" s="45">
        <f>'Majapidamiste nõudlus asulates'!G83</f>
        <v>3836</v>
      </c>
      <c r="F138" s="25">
        <f>'Majapidamiste nõudlus asulates'!H83</f>
        <v>3617.5734000000007</v>
      </c>
      <c r="G138" s="25">
        <f>'Majapidamiste nõudlus asulates'!I83</f>
        <v>3908.696435957489</v>
      </c>
      <c r="H138" s="25">
        <f>'Majapidamiste nõudlus asulates'!J83</f>
        <v>3865.8443641605986</v>
      </c>
      <c r="I138" s="25">
        <f>'Majapidamiste nõudlus asulates'!K83</f>
        <v>3823.597059506003</v>
      </c>
      <c r="J138" s="25">
        <f>'Majapidamiste nõudlus asulates'!L83</f>
        <v>3781.8681266876602</v>
      </c>
      <c r="K138" s="25">
        <f>'Majapidamiste nõudlus asulates'!M83</f>
        <v>3740.484775093486</v>
      </c>
      <c r="L138" s="25">
        <f>'Majapidamiste nõudlus asulates'!N83</f>
        <v>3699.2742141113954</v>
      </c>
      <c r="M138" s="25">
        <f>'Majapidamiste nõudlus asulates'!O83</f>
        <v>3657.7180719051371</v>
      </c>
      <c r="N138" s="25">
        <f>'Majapidamiste nõudlus asulates'!P83</f>
        <v>3615.9891390867947</v>
      </c>
      <c r="O138" s="25">
        <f>'Majapidamiste nõudlus asulates'!Q83</f>
        <v>3574.0010203503252</v>
      </c>
      <c r="P138" s="25">
        <f>'Majapidamiste nõudlus asulates'!R83</f>
        <v>3531.5809250836451</v>
      </c>
      <c r="Q138" s="25">
        <f>'Majapidamiste nõudlus asulates'!S83</f>
        <v>3490.1975734894709</v>
      </c>
      <c r="R138" s="25">
        <f>'Majapidamiste nõudlus asulates'!T83</f>
        <v>3449.2991553643278</v>
      </c>
      <c r="S138" s="25">
        <f>'Majapidamiste nõudlus asulates'!U83</f>
        <v>3408.8799882185131</v>
      </c>
      <c r="T138" s="25">
        <f>'Majapidamiste nõudlus asulates'!V83</f>
        <v>3368.9344561501944</v>
      </c>
    </row>
    <row r="139" spans="1:20" x14ac:dyDescent="0.25">
      <c r="A139" s="48" t="s">
        <v>168</v>
      </c>
      <c r="B139" s="25">
        <v>820</v>
      </c>
      <c r="C139" s="25">
        <v>1075</v>
      </c>
      <c r="D139" s="25">
        <v>1605</v>
      </c>
      <c r="E139" s="45">
        <v>1421</v>
      </c>
      <c r="F139" s="25">
        <v>1120</v>
      </c>
      <c r="G139" s="25">
        <f t="shared" ref="G139:Q139" si="5">F139</f>
        <v>1120</v>
      </c>
      <c r="H139" s="25">
        <f t="shared" si="5"/>
        <v>1120</v>
      </c>
      <c r="I139" s="25">
        <f t="shared" si="5"/>
        <v>1120</v>
      </c>
      <c r="J139" s="25">
        <f t="shared" si="5"/>
        <v>1120</v>
      </c>
      <c r="K139" s="25">
        <f t="shared" si="5"/>
        <v>1120</v>
      </c>
      <c r="L139" s="25">
        <f t="shared" si="5"/>
        <v>1120</v>
      </c>
      <c r="M139" s="25">
        <f t="shared" si="5"/>
        <v>1120</v>
      </c>
      <c r="N139" s="25">
        <f t="shared" si="5"/>
        <v>1120</v>
      </c>
      <c r="O139" s="25">
        <f t="shared" si="5"/>
        <v>1120</v>
      </c>
      <c r="P139" s="25">
        <f t="shared" si="5"/>
        <v>1120</v>
      </c>
      <c r="Q139" s="25">
        <f t="shared" si="5"/>
        <v>1120</v>
      </c>
      <c r="R139" s="25">
        <f t="shared" ref="R139" si="6">Q139</f>
        <v>1120</v>
      </c>
      <c r="S139" s="25">
        <f t="shared" ref="S139" si="7">R139</f>
        <v>1120</v>
      </c>
      <c r="T139" s="25">
        <f t="shared" ref="T139" si="8">S139</f>
        <v>1120</v>
      </c>
    </row>
    <row r="140" spans="1:20" x14ac:dyDescent="0.25">
      <c r="A140" s="52" t="s">
        <v>207</v>
      </c>
      <c r="B140" s="45">
        <f>B138+B139</f>
        <v>3870</v>
      </c>
      <c r="C140" s="25">
        <f t="shared" ref="C140:P140" si="9">C138+C139</f>
        <v>4729.6571494391319</v>
      </c>
      <c r="D140" s="25">
        <f t="shared" si="9"/>
        <v>4628</v>
      </c>
      <c r="E140" s="45">
        <f t="shared" si="9"/>
        <v>5257</v>
      </c>
      <c r="F140" s="25">
        <f t="shared" si="9"/>
        <v>4737.5734000000011</v>
      </c>
      <c r="G140" s="25">
        <f t="shared" si="9"/>
        <v>5028.6964359574886</v>
      </c>
      <c r="H140" s="25">
        <f t="shared" si="9"/>
        <v>4985.8443641605991</v>
      </c>
      <c r="I140" s="25">
        <f t="shared" si="9"/>
        <v>4943.5970595060026</v>
      </c>
      <c r="J140" s="25">
        <f t="shared" si="9"/>
        <v>4901.8681266876602</v>
      </c>
      <c r="K140" s="25">
        <f t="shared" si="9"/>
        <v>4860.484775093486</v>
      </c>
      <c r="L140" s="25">
        <f t="shared" si="9"/>
        <v>4819.2742141113958</v>
      </c>
      <c r="M140" s="25">
        <f t="shared" si="9"/>
        <v>4777.7180719051375</v>
      </c>
      <c r="N140" s="25">
        <f t="shared" si="9"/>
        <v>4735.9891390867942</v>
      </c>
      <c r="O140" s="25">
        <f t="shared" si="9"/>
        <v>4694.0010203503252</v>
      </c>
      <c r="P140" s="25">
        <f t="shared" si="9"/>
        <v>4651.5809250836446</v>
      </c>
      <c r="Q140" s="25">
        <f t="shared" ref="Q140" si="10">Q138+Q139</f>
        <v>4610.1975734894713</v>
      </c>
      <c r="R140" s="25">
        <f t="shared" ref="R140:T140" si="11">R138+R139</f>
        <v>4569.2991553643278</v>
      </c>
      <c r="S140" s="25">
        <f t="shared" si="11"/>
        <v>4528.8799882185131</v>
      </c>
      <c r="T140" s="25">
        <f t="shared" si="11"/>
        <v>4488.9344561501948</v>
      </c>
    </row>
    <row r="141" spans="1:20" x14ac:dyDescent="0.25">
      <c r="A141" s="53" t="s">
        <v>206</v>
      </c>
      <c r="B141" s="58">
        <f>B68</f>
        <v>0.22754491017964071</v>
      </c>
      <c r="C141" s="38">
        <f>C68</f>
        <v>0.19145299145299147</v>
      </c>
      <c r="D141" s="38">
        <f>D68</f>
        <v>0.44160231660231658</v>
      </c>
      <c r="E141" s="58">
        <f>E68</f>
        <v>0.30928918670345551</v>
      </c>
      <c r="F141" s="38">
        <f>(D141+$E$141)/2</f>
        <v>0.37544575165288607</v>
      </c>
      <c r="G141" s="85">
        <f>$F$141-15%</f>
        <v>0.22544575165288608</v>
      </c>
      <c r="H141" s="128">
        <f>21%</f>
        <v>0.21</v>
      </c>
      <c r="I141" s="128">
        <f>15%</f>
        <v>0.15</v>
      </c>
      <c r="J141" s="128">
        <f>$E$68-20.9%</f>
        <v>0.10028918670345552</v>
      </c>
      <c r="K141" s="128">
        <f>$E$68-20.9%</f>
        <v>0.10028918670345552</v>
      </c>
      <c r="L141" s="128">
        <f t="shared" ref="L141:T141" si="12">$E$68-20.9%</f>
        <v>0.10028918670345552</v>
      </c>
      <c r="M141" s="128">
        <f t="shared" si="12"/>
        <v>0.10028918670345552</v>
      </c>
      <c r="N141" s="128">
        <f t="shared" si="12"/>
        <v>0.10028918670345552</v>
      </c>
      <c r="O141" s="128">
        <f t="shared" si="12"/>
        <v>0.10028918670345552</v>
      </c>
      <c r="P141" s="128">
        <f t="shared" si="12"/>
        <v>0.10028918670345552</v>
      </c>
      <c r="Q141" s="128">
        <f t="shared" si="12"/>
        <v>0.10028918670345552</v>
      </c>
      <c r="R141" s="128">
        <f t="shared" si="12"/>
        <v>0.10028918670345552</v>
      </c>
      <c r="S141" s="128">
        <f t="shared" si="12"/>
        <v>0.10028918670345552</v>
      </c>
      <c r="T141" s="128">
        <f t="shared" si="12"/>
        <v>0.10028918670345552</v>
      </c>
    </row>
    <row r="142" spans="1:20" x14ac:dyDescent="0.25">
      <c r="A142" s="47" t="s">
        <v>205</v>
      </c>
      <c r="B142" s="45">
        <f>B143-B140</f>
        <v>1140</v>
      </c>
      <c r="C142" s="25">
        <f t="shared" ref="C142:P142" si="13">C143-C140</f>
        <v>1119.9188176261778</v>
      </c>
      <c r="D142" s="25">
        <f t="shared" si="13"/>
        <v>3660</v>
      </c>
      <c r="E142" s="45">
        <f t="shared" si="13"/>
        <v>2354</v>
      </c>
      <c r="F142" s="25">
        <f t="shared" si="13"/>
        <v>2847.9540582440404</v>
      </c>
      <c r="G142" s="25">
        <f t="shared" si="13"/>
        <v>1463.6783030470988</v>
      </c>
      <c r="H142" s="109">
        <f t="shared" si="13"/>
        <v>1325.351033511045</v>
      </c>
      <c r="I142" s="109">
        <f t="shared" si="13"/>
        <v>872.39948108929548</v>
      </c>
      <c r="J142" s="109">
        <f t="shared" si="13"/>
        <v>546.4026445918289</v>
      </c>
      <c r="K142" s="109">
        <f t="shared" si="13"/>
        <v>541.78971495587575</v>
      </c>
      <c r="L142" s="109">
        <f t="shared" si="13"/>
        <v>537.19604598646129</v>
      </c>
      <c r="M142" s="109">
        <f t="shared" si="13"/>
        <v>532.56385568396945</v>
      </c>
      <c r="N142" s="109">
        <f t="shared" si="13"/>
        <v>527.91240471493984</v>
      </c>
      <c r="O142" s="109">
        <f t="shared" si="13"/>
        <v>523.23206274610311</v>
      </c>
      <c r="P142" s="109">
        <f t="shared" si="13"/>
        <v>518.50356911091876</v>
      </c>
      <c r="Q142" s="109">
        <f t="shared" ref="Q142" si="14">Q143-Q140</f>
        <v>513.89063947496652</v>
      </c>
      <c r="R142" s="109">
        <f t="shared" ref="R142:T142" si="15">R143-R140</f>
        <v>509.3317645224688</v>
      </c>
      <c r="S142" s="109">
        <f t="shared" si="15"/>
        <v>504.82631083626529</v>
      </c>
      <c r="T142" s="109">
        <f t="shared" si="15"/>
        <v>500.37365242162377</v>
      </c>
    </row>
    <row r="143" spans="1:20" x14ac:dyDescent="0.25">
      <c r="A143" s="93" t="s">
        <v>267</v>
      </c>
      <c r="B143" s="59">
        <f>B140/(1-B141)*100/100</f>
        <v>5010</v>
      </c>
      <c r="C143" s="33">
        <f t="shared" ref="C143:P143" si="16">C140/(1-C141)*100/100</f>
        <v>5849.5759670653097</v>
      </c>
      <c r="D143" s="33">
        <f t="shared" si="16"/>
        <v>8288</v>
      </c>
      <c r="E143" s="59">
        <f t="shared" si="16"/>
        <v>7611</v>
      </c>
      <c r="F143" s="33">
        <f t="shared" si="16"/>
        <v>7585.5274582440416</v>
      </c>
      <c r="G143" s="33">
        <f t="shared" si="16"/>
        <v>6492.3747390045874</v>
      </c>
      <c r="H143" s="114">
        <f t="shared" si="16"/>
        <v>6311.1953976716441</v>
      </c>
      <c r="I143" s="114">
        <f t="shared" si="16"/>
        <v>5815.996540595298</v>
      </c>
      <c r="J143" s="114">
        <f t="shared" si="16"/>
        <v>5448.2707712794891</v>
      </c>
      <c r="K143" s="114">
        <f t="shared" si="16"/>
        <v>5402.2744900493617</v>
      </c>
      <c r="L143" s="114">
        <f t="shared" si="16"/>
        <v>5356.4702600978571</v>
      </c>
      <c r="M143" s="114">
        <f t="shared" si="16"/>
        <v>5310.281927589107</v>
      </c>
      <c r="N143" s="114">
        <f t="shared" si="16"/>
        <v>5263.9015438017341</v>
      </c>
      <c r="O143" s="114">
        <f t="shared" si="16"/>
        <v>5217.2330830964283</v>
      </c>
      <c r="P143" s="114">
        <f t="shared" si="16"/>
        <v>5170.0844941945634</v>
      </c>
      <c r="Q143" s="114">
        <f t="shared" ref="Q143" si="17">Q140/(1-Q141)*100/100</f>
        <v>5124.0882129644378</v>
      </c>
      <c r="R143" s="114">
        <f t="shared" ref="R143:T143" si="18">R140/(1-R141)*100/100</f>
        <v>5078.6309198867966</v>
      </c>
      <c r="S143" s="114">
        <f t="shared" si="18"/>
        <v>5033.7062990547784</v>
      </c>
      <c r="T143" s="114">
        <f t="shared" si="18"/>
        <v>4989.3081085718186</v>
      </c>
    </row>
    <row r="144" spans="1:20" x14ac:dyDescent="0.25">
      <c r="A144" s="48" t="s">
        <v>169</v>
      </c>
      <c r="B144" s="53">
        <f>'Majapidamiste nõudlus asulates'!D84</f>
        <v>1510</v>
      </c>
      <c r="C144" s="25">
        <f>'Majapidamiste nõudlus asulates'!E84</f>
        <v>1569.8979933996511</v>
      </c>
      <c r="D144" s="25">
        <f>'Majapidamiste nõudlus asulates'!F84</f>
        <v>1705</v>
      </c>
      <c r="E144" s="45">
        <f>'Majapidamiste nõudlus asulates'!G84</f>
        <v>1415</v>
      </c>
      <c r="F144" s="25">
        <f>'Majapidamiste nõudlus asulates'!H84</f>
        <v>1400.0288848500584</v>
      </c>
      <c r="G144" s="25">
        <f>'Majapidamiste nõudlus asulates'!I84</f>
        <v>1385.1190012549223</v>
      </c>
      <c r="H144" s="109">
        <f>'Majapidamiste nõudlus asulates'!J84</f>
        <v>1369.9335756631615</v>
      </c>
      <c r="I144" s="109">
        <f>'Majapidamiste nõudlus asulates'!K84</f>
        <v>1354.9624605132199</v>
      </c>
      <c r="J144" s="109">
        <f>'Majapidamiste nõudlus asulates'!L84</f>
        <v>1340.1750400276949</v>
      </c>
      <c r="K144" s="109">
        <f>'Majapidamiste nõudlus asulates'!M84</f>
        <v>1325.5100826517805</v>
      </c>
      <c r="L144" s="109">
        <f>'Majapidamiste nõudlus asulates'!N84</f>
        <v>1310.9063568306722</v>
      </c>
      <c r="M144" s="109">
        <f>'Majapidamiste nõudlus asulates'!O84</f>
        <v>1296.1801678999525</v>
      </c>
      <c r="N144" s="109">
        <f>'Majapidamiste nõudlus asulates'!P84</f>
        <v>1281.3927474144273</v>
      </c>
      <c r="O144" s="109">
        <f>'Majapidamiste nõudlus asulates'!Q84</f>
        <v>1266.513479596694</v>
      </c>
      <c r="P144" s="109">
        <f>'Majapidamiste nõudlus asulates'!R84</f>
        <v>1251.4811328919468</v>
      </c>
      <c r="Q144" s="109">
        <f>'Majapidamiste nõudlus asulates'!S84</f>
        <v>1236.8161755160327</v>
      </c>
      <c r="R144" s="109">
        <f>'Majapidamiste nõudlus asulates'!T84</f>
        <v>1222.3230632995742</v>
      </c>
      <c r="S144" s="109">
        <f>'Majapidamiste nõudlus asulates'!U84</f>
        <v>1207.9997825470605</v>
      </c>
      <c r="T144" s="109">
        <f>'Majapidamiste nõudlus asulates'!V84</f>
        <v>1193.844343159629</v>
      </c>
    </row>
    <row r="145" spans="1:20" x14ac:dyDescent="0.25">
      <c r="A145" s="48" t="s">
        <v>170</v>
      </c>
      <c r="B145" s="60">
        <v>0</v>
      </c>
      <c r="C145" s="50">
        <v>0</v>
      </c>
      <c r="D145" s="50">
        <v>0</v>
      </c>
      <c r="E145" s="60">
        <v>0</v>
      </c>
      <c r="F145" s="50">
        <v>0</v>
      </c>
      <c r="G145" s="50">
        <v>0</v>
      </c>
      <c r="H145" s="129">
        <v>0</v>
      </c>
      <c r="I145" s="129">
        <v>0</v>
      </c>
      <c r="J145" s="129">
        <v>0</v>
      </c>
      <c r="K145" s="129">
        <v>0</v>
      </c>
      <c r="L145" s="129">
        <v>0</v>
      </c>
      <c r="M145" s="129">
        <v>0</v>
      </c>
      <c r="N145" s="129">
        <v>0</v>
      </c>
      <c r="O145" s="129">
        <v>0</v>
      </c>
      <c r="P145" s="129">
        <v>0</v>
      </c>
      <c r="Q145" s="129">
        <v>0</v>
      </c>
      <c r="R145" s="129">
        <v>0</v>
      </c>
      <c r="S145" s="129">
        <v>0</v>
      </c>
      <c r="T145" s="129">
        <v>0</v>
      </c>
    </row>
    <row r="146" spans="1:20" x14ac:dyDescent="0.25">
      <c r="A146" s="52" t="s">
        <v>208</v>
      </c>
      <c r="B146" s="53">
        <f>B144+B145</f>
        <v>1510</v>
      </c>
      <c r="C146" s="25">
        <f t="shared" ref="C146:P146" si="19">C144+C145</f>
        <v>1569.8979933996511</v>
      </c>
      <c r="D146" s="25">
        <f t="shared" si="19"/>
        <v>1705</v>
      </c>
      <c r="E146" s="45">
        <f t="shared" si="19"/>
        <v>1415</v>
      </c>
      <c r="F146" s="25">
        <f t="shared" si="19"/>
        <v>1400.0288848500584</v>
      </c>
      <c r="G146" s="25">
        <f t="shared" si="19"/>
        <v>1385.1190012549223</v>
      </c>
      <c r="H146" s="109">
        <f t="shared" si="19"/>
        <v>1369.9335756631615</v>
      </c>
      <c r="I146" s="109">
        <f t="shared" si="19"/>
        <v>1354.9624605132199</v>
      </c>
      <c r="J146" s="109">
        <f t="shared" si="19"/>
        <v>1340.1750400276949</v>
      </c>
      <c r="K146" s="109">
        <f t="shared" si="19"/>
        <v>1325.5100826517805</v>
      </c>
      <c r="L146" s="109">
        <f t="shared" si="19"/>
        <v>1310.9063568306722</v>
      </c>
      <c r="M146" s="109">
        <f t="shared" si="19"/>
        <v>1296.1801678999525</v>
      </c>
      <c r="N146" s="109">
        <f t="shared" si="19"/>
        <v>1281.3927474144273</v>
      </c>
      <c r="O146" s="109">
        <f t="shared" si="19"/>
        <v>1266.513479596694</v>
      </c>
      <c r="P146" s="109">
        <f t="shared" si="19"/>
        <v>1251.4811328919468</v>
      </c>
      <c r="Q146" s="109">
        <f t="shared" ref="Q146" si="20">Q144+Q145</f>
        <v>1236.8161755160327</v>
      </c>
      <c r="R146" s="109">
        <f t="shared" ref="R146:T146" si="21">R144+R145</f>
        <v>1222.3230632995742</v>
      </c>
      <c r="S146" s="109">
        <f t="shared" si="21"/>
        <v>1207.9997825470605</v>
      </c>
      <c r="T146" s="109">
        <f t="shared" si="21"/>
        <v>1193.844343159629</v>
      </c>
    </row>
    <row r="147" spans="1:20" x14ac:dyDescent="0.25">
      <c r="A147" s="53" t="s">
        <v>206</v>
      </c>
      <c r="B147" s="58">
        <f>B74</f>
        <v>0.22959183673469388</v>
      </c>
      <c r="C147" s="38">
        <f>C74</f>
        <v>0.1693121693121693</v>
      </c>
      <c r="D147" s="38">
        <f>D74</f>
        <v>0.23267326732673269</v>
      </c>
      <c r="E147" s="58">
        <f>$E$74</f>
        <v>0.27879714576962283</v>
      </c>
      <c r="F147" s="85">
        <v>0.23</v>
      </c>
      <c r="G147" s="85">
        <v>0.21</v>
      </c>
      <c r="H147" s="128">
        <v>0.12</v>
      </c>
      <c r="I147" s="128">
        <v>0.12</v>
      </c>
      <c r="J147" s="128">
        <v>0.12</v>
      </c>
      <c r="K147" s="128">
        <v>0.12</v>
      </c>
      <c r="L147" s="128">
        <v>0.12</v>
      </c>
      <c r="M147" s="128">
        <v>0.12</v>
      </c>
      <c r="N147" s="128">
        <v>0.12</v>
      </c>
      <c r="O147" s="128">
        <v>0.12</v>
      </c>
      <c r="P147" s="128">
        <v>0.12</v>
      </c>
      <c r="Q147" s="128">
        <v>0.12</v>
      </c>
      <c r="R147" s="128">
        <v>0.12</v>
      </c>
      <c r="S147" s="128">
        <v>0.12</v>
      </c>
      <c r="T147" s="128">
        <v>0.12</v>
      </c>
    </row>
    <row r="148" spans="1:20" x14ac:dyDescent="0.25">
      <c r="A148" s="47" t="s">
        <v>205</v>
      </c>
      <c r="B148" s="45">
        <f>B149-B146</f>
        <v>450</v>
      </c>
      <c r="C148" s="25">
        <f t="shared" ref="C148:P148" si="22">C149-C146</f>
        <v>319.97920884578866</v>
      </c>
      <c r="D148" s="25">
        <f t="shared" si="22"/>
        <v>517</v>
      </c>
      <c r="E148" s="45">
        <f t="shared" si="22"/>
        <v>546.99999999999977</v>
      </c>
      <c r="F148" s="25">
        <f t="shared" si="22"/>
        <v>418.19044612404332</v>
      </c>
      <c r="G148" s="25">
        <f t="shared" si="22"/>
        <v>368.19619020700452</v>
      </c>
      <c r="H148" s="109">
        <f t="shared" si="22"/>
        <v>186.80912395406745</v>
      </c>
      <c r="I148" s="109">
        <f t="shared" si="22"/>
        <v>184.76760825180281</v>
      </c>
      <c r="J148" s="109">
        <f t="shared" si="22"/>
        <v>182.7511418219583</v>
      </c>
      <c r="K148" s="109">
        <f t="shared" si="22"/>
        <v>180.75137490706106</v>
      </c>
      <c r="L148" s="109">
        <f t="shared" si="22"/>
        <v>178.75995774963712</v>
      </c>
      <c r="M148" s="109">
        <f t="shared" si="22"/>
        <v>176.75184107726614</v>
      </c>
      <c r="N148" s="109">
        <f t="shared" si="22"/>
        <v>174.73537464742162</v>
      </c>
      <c r="O148" s="109">
        <f t="shared" si="22"/>
        <v>172.70638358136762</v>
      </c>
      <c r="P148" s="109">
        <f t="shared" si="22"/>
        <v>170.65651812162878</v>
      </c>
      <c r="Q148" s="109">
        <f t="shared" ref="Q148" si="23">Q149-Q146</f>
        <v>168.65675120673177</v>
      </c>
      <c r="R148" s="109">
        <f t="shared" ref="R148:T148" si="24">R149-R146</f>
        <v>166.68041772266929</v>
      </c>
      <c r="S148" s="109">
        <f t="shared" si="24"/>
        <v>164.72724307459885</v>
      </c>
      <c r="T148" s="109">
        <f t="shared" si="24"/>
        <v>162.7969558854038</v>
      </c>
    </row>
    <row r="149" spans="1:20" x14ac:dyDescent="0.25">
      <c r="A149" s="93" t="s">
        <v>268</v>
      </c>
      <c r="B149" s="59">
        <f>B146/(1-B147)*100/100</f>
        <v>1960</v>
      </c>
      <c r="C149" s="33">
        <f t="shared" ref="C149:P149" si="25">C146/(1-C147)*100/100</f>
        <v>1889.8772022454398</v>
      </c>
      <c r="D149" s="33">
        <f t="shared" si="25"/>
        <v>2222</v>
      </c>
      <c r="E149" s="59">
        <f t="shared" si="25"/>
        <v>1961.9999999999998</v>
      </c>
      <c r="F149" s="33">
        <f t="shared" si="25"/>
        <v>1818.2193309741017</v>
      </c>
      <c r="G149" s="33">
        <f t="shared" si="25"/>
        <v>1753.3151914619268</v>
      </c>
      <c r="H149" s="114">
        <f t="shared" si="25"/>
        <v>1556.7426996172289</v>
      </c>
      <c r="I149" s="114">
        <f t="shared" si="25"/>
        <v>1539.7300687650227</v>
      </c>
      <c r="J149" s="114">
        <f t="shared" si="25"/>
        <v>1522.9261818496532</v>
      </c>
      <c r="K149" s="114">
        <f t="shared" si="25"/>
        <v>1506.2614575588416</v>
      </c>
      <c r="L149" s="114">
        <f t="shared" si="25"/>
        <v>1489.6663145803093</v>
      </c>
      <c r="M149" s="114">
        <f t="shared" si="25"/>
        <v>1472.9320089772186</v>
      </c>
      <c r="N149" s="114">
        <f t="shared" si="25"/>
        <v>1456.1281220618489</v>
      </c>
      <c r="O149" s="114">
        <f t="shared" si="25"/>
        <v>1439.2198631780616</v>
      </c>
      <c r="P149" s="114">
        <f t="shared" si="25"/>
        <v>1422.1376510135756</v>
      </c>
      <c r="Q149" s="114">
        <f t="shared" ref="Q149" si="26">Q146/(1-Q147)*100/100</f>
        <v>1405.4729267227644</v>
      </c>
      <c r="R149" s="114">
        <f t="shared" ref="R149:T149" si="27">R146/(1-R147)*100/100</f>
        <v>1389.0034810222435</v>
      </c>
      <c r="S149" s="114">
        <f t="shared" si="27"/>
        <v>1372.7270256216593</v>
      </c>
      <c r="T149" s="114">
        <f t="shared" si="27"/>
        <v>1356.6412990450328</v>
      </c>
    </row>
    <row r="150" spans="1:20" x14ac:dyDescent="0.25">
      <c r="A150" s="48" t="s">
        <v>171</v>
      </c>
      <c r="B150" s="53">
        <f>'Majapidamiste nõudlus asulates'!D85</f>
        <v>7260</v>
      </c>
      <c r="C150" s="25">
        <f>'Majapidamiste nõudlus asulates'!E85</f>
        <v>7231.1966683130913</v>
      </c>
      <c r="D150" s="25">
        <f>'Majapidamiste nõudlus asulates'!F85</f>
        <v>6127</v>
      </c>
      <c r="E150" s="45">
        <f>'Majapidamiste nõudlus asulates'!G85</f>
        <v>5856</v>
      </c>
      <c r="F150" s="25">
        <f>'Majapidamiste nõudlus asulates'!H85</f>
        <v>5794.0418018953651</v>
      </c>
      <c r="G150" s="25">
        <f>'Majapidamiste nõudlus asulates'!I85</f>
        <v>5732.3370115539392</v>
      </c>
      <c r="H150" s="109">
        <f>'Majapidamiste nõudlus asulates'!J85</f>
        <v>5669.4918862780733</v>
      </c>
      <c r="I150" s="109">
        <f>'Majapidamiste nõudlus asulates'!K85</f>
        <v>5607.5336881734383</v>
      </c>
      <c r="J150" s="109">
        <f>'Majapidamiste nõudlus asulates'!L85</f>
        <v>5546.3357133584313</v>
      </c>
      <c r="K150" s="109">
        <f>'Majapidamiste nõudlus asulates'!M85</f>
        <v>5485.6445540698442</v>
      </c>
      <c r="L150" s="109">
        <f>'Majapidamiste nõudlus asulates'!N85</f>
        <v>5425.2068025444632</v>
      </c>
      <c r="M150" s="109">
        <f>'Majapidamiste nõudlus asulates'!O85</f>
        <v>5364.2622354926652</v>
      </c>
      <c r="N150" s="109">
        <f>'Majapidamiste nõudlus asulates'!P85</f>
        <v>5303.0642606776582</v>
      </c>
      <c r="O150" s="109">
        <f>'Majapidamiste nõudlus asulates'!Q85</f>
        <v>5241.4861742178382</v>
      </c>
      <c r="P150" s="109">
        <f>'Majapidamiste nõudlus asulates'!R85</f>
        <v>5179.2745683499943</v>
      </c>
      <c r="Q150" s="109">
        <f>'Majapidamiste nõudlus asulates'!S85</f>
        <v>5118.5834090614053</v>
      </c>
      <c r="R150" s="109">
        <f>'Majapidamiste nõudlus asulates'!T85</f>
        <v>5058.6034336977436</v>
      </c>
      <c r="S150" s="109">
        <f>'Majapidamiste nõudlus asulates'!U85</f>
        <v>4999.3263085481176</v>
      </c>
      <c r="T150" s="109">
        <f>'Majapidamiste nõudlus asulates'!V85</f>
        <v>4940.74379755674</v>
      </c>
    </row>
    <row r="151" spans="1:20" x14ac:dyDescent="0.25">
      <c r="A151" s="48" t="s">
        <v>172</v>
      </c>
      <c r="B151" s="53">
        <v>260</v>
      </c>
      <c r="C151" s="21">
        <v>315</v>
      </c>
      <c r="D151" s="21">
        <f>856</f>
        <v>856</v>
      </c>
      <c r="E151" s="53">
        <f>676</f>
        <v>676</v>
      </c>
      <c r="F151" s="21">
        <f>E151</f>
        <v>676</v>
      </c>
      <c r="G151" s="21">
        <f t="shared" ref="G151:Q151" si="28">F151</f>
        <v>676</v>
      </c>
      <c r="H151" s="23">
        <f t="shared" si="28"/>
        <v>676</v>
      </c>
      <c r="I151" s="23">
        <f t="shared" si="28"/>
        <v>676</v>
      </c>
      <c r="J151" s="23">
        <f t="shared" si="28"/>
        <v>676</v>
      </c>
      <c r="K151" s="23">
        <f t="shared" si="28"/>
        <v>676</v>
      </c>
      <c r="L151" s="23">
        <f t="shared" si="28"/>
        <v>676</v>
      </c>
      <c r="M151" s="23">
        <f t="shared" si="28"/>
        <v>676</v>
      </c>
      <c r="N151" s="23">
        <f t="shared" si="28"/>
        <v>676</v>
      </c>
      <c r="O151" s="23">
        <f t="shared" si="28"/>
        <v>676</v>
      </c>
      <c r="P151" s="23">
        <f t="shared" si="28"/>
        <v>676</v>
      </c>
      <c r="Q151" s="23">
        <f t="shared" si="28"/>
        <v>676</v>
      </c>
      <c r="R151" s="23">
        <f t="shared" ref="R151" si="29">Q151</f>
        <v>676</v>
      </c>
      <c r="S151" s="23">
        <f t="shared" ref="S151" si="30">R151</f>
        <v>676</v>
      </c>
      <c r="T151" s="23">
        <f t="shared" ref="T151" si="31">S151</f>
        <v>676</v>
      </c>
    </row>
    <row r="152" spans="1:20" x14ac:dyDescent="0.25">
      <c r="A152" s="52" t="s">
        <v>209</v>
      </c>
      <c r="B152" s="53">
        <f>B150+B151</f>
        <v>7520</v>
      </c>
      <c r="C152" s="25">
        <f t="shared" ref="C152:P152" si="32">C150+C151</f>
        <v>7546.1966683130913</v>
      </c>
      <c r="D152" s="25">
        <f t="shared" si="32"/>
        <v>6983</v>
      </c>
      <c r="E152" s="45">
        <f t="shared" si="32"/>
        <v>6532</v>
      </c>
      <c r="F152" s="25">
        <f t="shared" si="32"/>
        <v>6470.0418018953651</v>
      </c>
      <c r="G152" s="25">
        <f t="shared" si="32"/>
        <v>6408.3370115539392</v>
      </c>
      <c r="H152" s="109">
        <f t="shared" si="32"/>
        <v>6345.4918862780733</v>
      </c>
      <c r="I152" s="109">
        <f t="shared" si="32"/>
        <v>6283.5336881734383</v>
      </c>
      <c r="J152" s="109">
        <f t="shared" si="32"/>
        <v>6222.3357133584313</v>
      </c>
      <c r="K152" s="109">
        <f t="shared" si="32"/>
        <v>6161.6445540698442</v>
      </c>
      <c r="L152" s="109">
        <f t="shared" si="32"/>
        <v>6101.2068025444632</v>
      </c>
      <c r="M152" s="109">
        <f t="shared" si="32"/>
        <v>6040.2622354926652</v>
      </c>
      <c r="N152" s="109">
        <f t="shared" si="32"/>
        <v>5979.0642606776582</v>
      </c>
      <c r="O152" s="109">
        <f t="shared" si="32"/>
        <v>5917.4861742178382</v>
      </c>
      <c r="P152" s="109">
        <f t="shared" si="32"/>
        <v>5855.2745683499943</v>
      </c>
      <c r="Q152" s="109">
        <f t="shared" ref="Q152" si="33">Q150+Q151</f>
        <v>5794.5834090614053</v>
      </c>
      <c r="R152" s="109">
        <f t="shared" ref="R152:T152" si="34">R150+R151</f>
        <v>5734.6034336977436</v>
      </c>
      <c r="S152" s="109">
        <f t="shared" si="34"/>
        <v>5675.3263085481176</v>
      </c>
      <c r="T152" s="109">
        <f t="shared" si="34"/>
        <v>5616.74379755674</v>
      </c>
    </row>
    <row r="153" spans="1:20" x14ac:dyDescent="0.25">
      <c r="A153" s="53" t="s">
        <v>206</v>
      </c>
      <c r="B153" s="58">
        <f>B62</f>
        <v>7.6167076167076173E-2</v>
      </c>
      <c r="C153" s="38">
        <f>C62</f>
        <v>7.9794079794079792E-2</v>
      </c>
      <c r="D153" s="38">
        <f>$D$62</f>
        <v>0.28474854040766157</v>
      </c>
      <c r="E153" s="58">
        <f>$E$62</f>
        <v>0.10704032809295967</v>
      </c>
      <c r="F153" s="85">
        <v>0.08</v>
      </c>
      <c r="G153" s="85">
        <v>0.08</v>
      </c>
      <c r="H153" s="128">
        <v>0.08</v>
      </c>
      <c r="I153" s="128">
        <v>0.08</v>
      </c>
      <c r="J153" s="128">
        <v>0.08</v>
      </c>
      <c r="K153" s="128">
        <v>0.08</v>
      </c>
      <c r="L153" s="128">
        <v>0.08</v>
      </c>
      <c r="M153" s="128">
        <v>0.08</v>
      </c>
      <c r="N153" s="128">
        <v>0.08</v>
      </c>
      <c r="O153" s="128">
        <v>0.08</v>
      </c>
      <c r="P153" s="128">
        <v>0.08</v>
      </c>
      <c r="Q153" s="128">
        <v>0.08</v>
      </c>
      <c r="R153" s="128">
        <v>0.08</v>
      </c>
      <c r="S153" s="128">
        <v>0.08</v>
      </c>
      <c r="T153" s="128">
        <v>0.08</v>
      </c>
    </row>
    <row r="154" spans="1:20" x14ac:dyDescent="0.25">
      <c r="A154" s="47" t="s">
        <v>205</v>
      </c>
      <c r="B154" s="45">
        <f>B155-B152</f>
        <v>620</v>
      </c>
      <c r="C154" s="25">
        <f t="shared" ref="C154:P154" si="35">C155-C152</f>
        <v>654.35551529428176</v>
      </c>
      <c r="D154" s="25">
        <f t="shared" si="35"/>
        <v>2779.9999999999982</v>
      </c>
      <c r="E154" s="45">
        <f t="shared" si="35"/>
        <v>783</v>
      </c>
      <c r="F154" s="25">
        <f t="shared" si="35"/>
        <v>562.61233059959704</v>
      </c>
      <c r="G154" s="25">
        <f t="shared" si="35"/>
        <v>557.24669665686361</v>
      </c>
      <c r="H154" s="25">
        <f t="shared" si="35"/>
        <v>551.78190315461507</v>
      </c>
      <c r="I154" s="25">
        <f t="shared" si="35"/>
        <v>546.39423375421211</v>
      </c>
      <c r="J154" s="25">
        <f t="shared" si="35"/>
        <v>541.07267072681952</v>
      </c>
      <c r="K154" s="25">
        <f t="shared" si="35"/>
        <v>535.7951786147687</v>
      </c>
      <c r="L154" s="25">
        <f t="shared" si="35"/>
        <v>530.5397219603874</v>
      </c>
      <c r="M154" s="25">
        <f t="shared" si="35"/>
        <v>525.24019439066615</v>
      </c>
      <c r="N154" s="25">
        <f t="shared" si="35"/>
        <v>519.91863136327447</v>
      </c>
      <c r="O154" s="25">
        <f t="shared" si="35"/>
        <v>514.56401514937716</v>
      </c>
      <c r="P154" s="25">
        <f t="shared" si="35"/>
        <v>509.15431029130377</v>
      </c>
      <c r="Q154" s="25">
        <f t="shared" ref="Q154:T154" si="36">Q155-Q152</f>
        <v>503.87681817925204</v>
      </c>
      <c r="R154" s="25">
        <f t="shared" si="36"/>
        <v>498.66116814762972</v>
      </c>
      <c r="S154" s="25">
        <f t="shared" si="36"/>
        <v>493.50663552592232</v>
      </c>
      <c r="T154" s="25">
        <f t="shared" si="36"/>
        <v>488.41250413536818</v>
      </c>
    </row>
    <row r="155" spans="1:20" x14ac:dyDescent="0.25">
      <c r="A155" s="93" t="s">
        <v>269</v>
      </c>
      <c r="B155" s="59">
        <f>B152/(1-B153)*100/100</f>
        <v>8140</v>
      </c>
      <c r="C155" s="33">
        <f t="shared" ref="C155:P155" si="37">C152/(1-C153)*100/100</f>
        <v>8200.5521836073731</v>
      </c>
      <c r="D155" s="33">
        <f t="shared" si="37"/>
        <v>9762.9999999999982</v>
      </c>
      <c r="E155" s="59">
        <f t="shared" si="37"/>
        <v>7315</v>
      </c>
      <c r="F155" s="33">
        <f t="shared" si="37"/>
        <v>7032.6541324949621</v>
      </c>
      <c r="G155" s="33">
        <f t="shared" si="37"/>
        <v>6965.5837082108028</v>
      </c>
      <c r="H155" s="33">
        <f t="shared" si="37"/>
        <v>6897.2737894326883</v>
      </c>
      <c r="I155" s="33">
        <f t="shared" si="37"/>
        <v>6829.9279219276505</v>
      </c>
      <c r="J155" s="33">
        <f t="shared" si="37"/>
        <v>6763.4083840852509</v>
      </c>
      <c r="K155" s="33">
        <f t="shared" si="37"/>
        <v>6697.4397326846129</v>
      </c>
      <c r="L155" s="33">
        <f t="shared" si="37"/>
        <v>6631.7465245048506</v>
      </c>
      <c r="M155" s="33">
        <f t="shared" si="37"/>
        <v>6565.5024298833314</v>
      </c>
      <c r="N155" s="33">
        <f t="shared" si="37"/>
        <v>6498.9828920409327</v>
      </c>
      <c r="O155" s="33">
        <f t="shared" si="37"/>
        <v>6432.0501893672154</v>
      </c>
      <c r="P155" s="33">
        <f t="shared" si="37"/>
        <v>6364.4288786412981</v>
      </c>
      <c r="Q155" s="33">
        <f t="shared" ref="Q155:T155" si="38">Q152/(1-Q153)*100/100</f>
        <v>6298.4602272406573</v>
      </c>
      <c r="R155" s="33">
        <f t="shared" si="38"/>
        <v>6233.2646018453734</v>
      </c>
      <c r="S155" s="33">
        <f t="shared" si="38"/>
        <v>6168.8329440740399</v>
      </c>
      <c r="T155" s="33">
        <f t="shared" si="38"/>
        <v>6105.1563016921082</v>
      </c>
    </row>
    <row r="156" spans="1:20" x14ac:dyDescent="0.25">
      <c r="A156" s="48" t="s">
        <v>173</v>
      </c>
      <c r="B156" s="57">
        <f>'Majapidamiste nõudlus asulates'!D86</f>
        <v>17700</v>
      </c>
      <c r="C156" s="36">
        <f>'Majapidamiste nõudlus asulates'!E86</f>
        <v>17786.093918429513</v>
      </c>
      <c r="D156" s="36">
        <f>'Majapidamiste nõudlus asulates'!F86</f>
        <v>14608</v>
      </c>
      <c r="E156" s="57">
        <f>'Majapidamiste nõudlus asulates'!G86</f>
        <v>16752</v>
      </c>
      <c r="F156" s="36">
        <f>'Majapidamiste nõudlus asulates'!H86</f>
        <v>16574.758925094116</v>
      </c>
      <c r="G156" s="36">
        <f>'Majapidamiste nõudlus asulates'!I86</f>
        <v>16398.242762560039</v>
      </c>
      <c r="H156" s="36">
        <f>'Majapidamiste nõudlus asulates'!J86</f>
        <v>16218.464494352849</v>
      </c>
      <c r="I156" s="36">
        <f>'Majapidamiste nõudlus asulates'!K86</f>
        <v>16041.223419446967</v>
      </c>
      <c r="J156" s="36">
        <f>'Majapidamiste nõudlus asulates'!L86</f>
        <v>15866.157081656498</v>
      </c>
      <c r="K156" s="36">
        <f>'Majapidamiste nõudlus asulates'!M86</f>
        <v>15692.540568609631</v>
      </c>
      <c r="L156" s="36">
        <f>'Majapidamiste nõudlus asulates'!N86</f>
        <v>15519.648967934572</v>
      </c>
      <c r="M156" s="36">
        <f>'Majapidamiste nõudlus asulates'!O86</f>
        <v>15345.3075425159</v>
      </c>
      <c r="N156" s="36">
        <f>'Majapidamiste nõudlus asulates'!P86</f>
        <v>15170.241204725431</v>
      </c>
      <c r="O156" s="36">
        <f>'Majapidamiste nõudlus asulates'!Q86</f>
        <v>14994.087498377254</v>
      </c>
      <c r="P156" s="36">
        <f>'Majapidamiste nõudlus asulates'!R86</f>
        <v>14816.121511099573</v>
      </c>
      <c r="Q156" s="36">
        <f>'Majapidamiste nõudlus asulates'!S86</f>
        <v>14642.504998052706</v>
      </c>
      <c r="R156" s="36">
        <f>'Majapidamiste nõudlus asulates'!T86</f>
        <v>14470.922937381249</v>
      </c>
      <c r="S156" s="36">
        <f>'Majapidamiste nõudlus asulates'!U86</f>
        <v>14301.351489207322</v>
      </c>
      <c r="T156" s="36">
        <f>'Majapidamiste nõudlus asulates'!V86</f>
        <v>14133.767093010676</v>
      </c>
    </row>
    <row r="157" spans="1:20" x14ac:dyDescent="0.25">
      <c r="A157" s="48" t="s">
        <v>175</v>
      </c>
      <c r="B157" s="53">
        <v>70</v>
      </c>
      <c r="C157" s="21">
        <v>0</v>
      </c>
      <c r="D157" s="21">
        <v>2466</v>
      </c>
      <c r="E157" s="53">
        <v>0</v>
      </c>
      <c r="F157" s="105">
        <f>($D$157+$E$157)/2</f>
        <v>1233</v>
      </c>
      <c r="G157" s="105">
        <f t="shared" ref="G157:T157" si="39">($D$157+$E$157)/2</f>
        <v>1233</v>
      </c>
      <c r="H157" s="105">
        <f t="shared" si="39"/>
        <v>1233</v>
      </c>
      <c r="I157" s="105">
        <f t="shared" si="39"/>
        <v>1233</v>
      </c>
      <c r="J157" s="105">
        <f t="shared" si="39"/>
        <v>1233</v>
      </c>
      <c r="K157" s="105">
        <f t="shared" si="39"/>
        <v>1233</v>
      </c>
      <c r="L157" s="105">
        <f t="shared" si="39"/>
        <v>1233</v>
      </c>
      <c r="M157" s="105">
        <f t="shared" si="39"/>
        <v>1233</v>
      </c>
      <c r="N157" s="105">
        <f t="shared" si="39"/>
        <v>1233</v>
      </c>
      <c r="O157" s="105">
        <f t="shared" si="39"/>
        <v>1233</v>
      </c>
      <c r="P157" s="105">
        <f t="shared" si="39"/>
        <v>1233</v>
      </c>
      <c r="Q157" s="105">
        <f t="shared" si="39"/>
        <v>1233</v>
      </c>
      <c r="R157" s="105">
        <f t="shared" si="39"/>
        <v>1233</v>
      </c>
      <c r="S157" s="105">
        <f t="shared" si="39"/>
        <v>1233</v>
      </c>
      <c r="T157" s="105">
        <f t="shared" si="39"/>
        <v>1233</v>
      </c>
    </row>
    <row r="158" spans="1:20" x14ac:dyDescent="0.25">
      <c r="A158" s="48" t="s">
        <v>174</v>
      </c>
      <c r="B158" s="53">
        <f>B156+B157</f>
        <v>17770</v>
      </c>
      <c r="C158" s="25">
        <f t="shared" ref="C158:P158" si="40">C156+C157</f>
        <v>17786.093918429513</v>
      </c>
      <c r="D158" s="25">
        <f t="shared" si="40"/>
        <v>17074</v>
      </c>
      <c r="E158" s="45">
        <f t="shared" si="40"/>
        <v>16752</v>
      </c>
      <c r="F158" s="25">
        <f t="shared" si="40"/>
        <v>17807.758925094116</v>
      </c>
      <c r="G158" s="25">
        <f t="shared" si="40"/>
        <v>17631.242762560039</v>
      </c>
      <c r="H158" s="25">
        <f t="shared" si="40"/>
        <v>17451.464494352847</v>
      </c>
      <c r="I158" s="25">
        <f t="shared" si="40"/>
        <v>17274.223419446967</v>
      </c>
      <c r="J158" s="25">
        <f t="shared" si="40"/>
        <v>17099.1570816565</v>
      </c>
      <c r="K158" s="25">
        <f t="shared" si="40"/>
        <v>16925.540568609631</v>
      </c>
      <c r="L158" s="25">
        <f t="shared" si="40"/>
        <v>16752.648967934572</v>
      </c>
      <c r="M158" s="25">
        <f t="shared" si="40"/>
        <v>16578.3075425159</v>
      </c>
      <c r="N158" s="25">
        <f t="shared" si="40"/>
        <v>16403.241204725433</v>
      </c>
      <c r="O158" s="25">
        <f t="shared" si="40"/>
        <v>16227.087498377254</v>
      </c>
      <c r="P158" s="25">
        <f t="shared" si="40"/>
        <v>16049.121511099573</v>
      </c>
      <c r="Q158" s="25">
        <f t="shared" ref="Q158:T158" si="41">Q156+Q157</f>
        <v>15875.504998052706</v>
      </c>
      <c r="R158" s="25">
        <f t="shared" si="41"/>
        <v>15703.922937381249</v>
      </c>
      <c r="S158" s="25">
        <f t="shared" si="41"/>
        <v>15534.351489207322</v>
      </c>
      <c r="T158" s="25">
        <f t="shared" si="41"/>
        <v>15366.767093010676</v>
      </c>
    </row>
    <row r="159" spans="1:20" x14ac:dyDescent="0.25">
      <c r="A159" s="53" t="s">
        <v>206</v>
      </c>
      <c r="B159" s="58">
        <f>B8</f>
        <v>3.21701199563795E-2</v>
      </c>
      <c r="C159" s="38">
        <f>C8</f>
        <v>2.3715415019762844E-2</v>
      </c>
      <c r="D159" s="38">
        <f>$D$8</f>
        <v>5.6059265811587794E-2</v>
      </c>
      <c r="E159" s="58">
        <f>$E$8</f>
        <v>0.30501161632923995</v>
      </c>
      <c r="F159" s="38">
        <f>(D159+E159)/2</f>
        <v>0.18053544107041386</v>
      </c>
      <c r="G159" s="38">
        <f>F159</f>
        <v>0.18053544107041386</v>
      </c>
      <c r="H159" s="38">
        <f t="shared" ref="H159:Q159" si="42">G159</f>
        <v>0.18053544107041386</v>
      </c>
      <c r="I159" s="38">
        <f t="shared" si="42"/>
        <v>0.18053544107041386</v>
      </c>
      <c r="J159" s="38">
        <f t="shared" si="42"/>
        <v>0.18053544107041386</v>
      </c>
      <c r="K159" s="38">
        <f t="shared" si="42"/>
        <v>0.18053544107041386</v>
      </c>
      <c r="L159" s="38">
        <f t="shared" si="42"/>
        <v>0.18053544107041386</v>
      </c>
      <c r="M159" s="38">
        <f t="shared" si="42"/>
        <v>0.18053544107041386</v>
      </c>
      <c r="N159" s="38">
        <f t="shared" si="42"/>
        <v>0.18053544107041386</v>
      </c>
      <c r="O159" s="38">
        <f t="shared" si="42"/>
        <v>0.18053544107041386</v>
      </c>
      <c r="P159" s="38">
        <f t="shared" si="42"/>
        <v>0.18053544107041386</v>
      </c>
      <c r="Q159" s="38">
        <f t="shared" si="42"/>
        <v>0.18053544107041386</v>
      </c>
      <c r="R159" s="38">
        <f t="shared" ref="R159" si="43">Q159</f>
        <v>0.18053544107041386</v>
      </c>
      <c r="S159" s="38">
        <f t="shared" ref="S159" si="44">R159</f>
        <v>0.18053544107041386</v>
      </c>
      <c r="T159" s="38">
        <f t="shared" ref="T159" si="45">S159</f>
        <v>0.18053544107041386</v>
      </c>
    </row>
    <row r="160" spans="1:20" x14ac:dyDescent="0.25">
      <c r="A160" s="47" t="s">
        <v>205</v>
      </c>
      <c r="B160" s="45">
        <f>B161-B158</f>
        <v>590.66478873239612</v>
      </c>
      <c r="C160" s="25">
        <f t="shared" ref="C160:P160" si="46">C161-C158</f>
        <v>432.05086441529056</v>
      </c>
      <c r="D160" s="25">
        <f t="shared" si="46"/>
        <v>1014</v>
      </c>
      <c r="E160" s="45">
        <f t="shared" si="46"/>
        <v>7352</v>
      </c>
      <c r="F160" s="25">
        <f t="shared" si="46"/>
        <v>3923.2100729492486</v>
      </c>
      <c r="G160" s="25">
        <f t="shared" si="46"/>
        <v>3884.3219686232078</v>
      </c>
      <c r="H160" s="25">
        <f t="shared" si="46"/>
        <v>3844.715192964657</v>
      </c>
      <c r="I160" s="25">
        <f t="shared" si="46"/>
        <v>3805.6673838980569</v>
      </c>
      <c r="J160" s="25">
        <f t="shared" si="46"/>
        <v>3767.0986890531312</v>
      </c>
      <c r="K160" s="25">
        <f t="shared" si="46"/>
        <v>3728.8494036893244</v>
      </c>
      <c r="L160" s="25">
        <f t="shared" si="46"/>
        <v>3690.7598230660769</v>
      </c>
      <c r="M160" s="25">
        <f t="shared" si="46"/>
        <v>3652.3508329617143</v>
      </c>
      <c r="N160" s="25">
        <f t="shared" si="46"/>
        <v>3613.7821381167923</v>
      </c>
      <c r="O160" s="25">
        <f t="shared" si="46"/>
        <v>3574.9738861610294</v>
      </c>
      <c r="P160" s="25">
        <f t="shared" si="46"/>
        <v>3535.7663723538717</v>
      </c>
      <c r="Q160" s="25">
        <f t="shared" ref="Q160:T160" si="47">Q161-Q158</f>
        <v>3497.5170869900667</v>
      </c>
      <c r="R160" s="25">
        <f t="shared" si="47"/>
        <v>3459.7160098531167</v>
      </c>
      <c r="S160" s="25">
        <f t="shared" si="47"/>
        <v>3422.3578888026896</v>
      </c>
      <c r="T160" s="25">
        <f t="shared" si="47"/>
        <v>3385.4375332434429</v>
      </c>
    </row>
    <row r="161" spans="1:20" x14ac:dyDescent="0.25">
      <c r="A161" s="93" t="s">
        <v>270</v>
      </c>
      <c r="B161" s="59">
        <f>B158/(1-B159)*100/100</f>
        <v>18360.664788732396</v>
      </c>
      <c r="C161" s="33">
        <f t="shared" ref="C161:P161" si="48">C158/(1-C159)*100/100</f>
        <v>18218.144782844804</v>
      </c>
      <c r="D161" s="33">
        <f t="shared" si="48"/>
        <v>18088</v>
      </c>
      <c r="E161" s="59">
        <f t="shared" si="48"/>
        <v>24104</v>
      </c>
      <c r="F161" s="33">
        <f t="shared" si="48"/>
        <v>21730.968998043365</v>
      </c>
      <c r="G161" s="33">
        <f t="shared" si="48"/>
        <v>21515.564731183247</v>
      </c>
      <c r="H161" s="33">
        <f t="shared" si="48"/>
        <v>21296.179687317504</v>
      </c>
      <c r="I161" s="33">
        <f t="shared" si="48"/>
        <v>21079.890803345024</v>
      </c>
      <c r="J161" s="33">
        <f t="shared" si="48"/>
        <v>20866.255770709631</v>
      </c>
      <c r="K161" s="33">
        <f t="shared" si="48"/>
        <v>20654.389972298955</v>
      </c>
      <c r="L161" s="33">
        <f t="shared" si="48"/>
        <v>20443.408791000649</v>
      </c>
      <c r="M161" s="33">
        <f t="shared" si="48"/>
        <v>20230.658375477615</v>
      </c>
      <c r="N161" s="33">
        <f t="shared" si="48"/>
        <v>20017.023342842225</v>
      </c>
      <c r="O161" s="33">
        <f t="shared" si="48"/>
        <v>19802.061384538283</v>
      </c>
      <c r="P161" s="33">
        <f t="shared" si="48"/>
        <v>19584.887883453444</v>
      </c>
      <c r="Q161" s="33">
        <f t="shared" ref="Q161:T161" si="49">Q158/(1-Q159)*100/100</f>
        <v>19373.022085042772</v>
      </c>
      <c r="R161" s="33">
        <f t="shared" si="49"/>
        <v>19163.638947234365</v>
      </c>
      <c r="S161" s="33">
        <f t="shared" si="49"/>
        <v>18956.709378010011</v>
      </c>
      <c r="T161" s="33">
        <f t="shared" si="49"/>
        <v>18752.204626254119</v>
      </c>
    </row>
    <row r="162" spans="1:20" x14ac:dyDescent="0.25">
      <c r="A162" s="48" t="s">
        <v>176</v>
      </c>
      <c r="B162" s="57">
        <f>'Majapidamiste nõudlus asulates'!D88</f>
        <v>4200</v>
      </c>
      <c r="C162" s="36">
        <f>'Majapidamiste nõudlus asulates'!E88</f>
        <v>4046.520115122295</v>
      </c>
      <c r="D162" s="36">
        <f>'Majapidamiste nõudlus asulates'!F88</f>
        <v>3105</v>
      </c>
      <c r="E162" s="57">
        <f>'Majapidamiste nõudlus asulates'!G88</f>
        <v>3322</v>
      </c>
      <c r="F162" s="36">
        <f>'Majapidamiste nõudlus asulates'!H88</f>
        <v>3770.0538653511621</v>
      </c>
      <c r="G162" s="36">
        <f>'Majapidamiste nõudlus asulates'!I88</f>
        <v>3729.9039335261486</v>
      </c>
      <c r="H162" s="36">
        <f>'Majapidamiste nõudlus asulates'!J88</f>
        <v>3842.7208449735372</v>
      </c>
      <c r="I162" s="36">
        <f>'Majapidamiste nõudlus asulates'!K88</f>
        <v>3800.726242256153</v>
      </c>
      <c r="J162" s="36">
        <f>'Majapidamiste nõudlus asulates'!L88</f>
        <v>3759.2469107377551</v>
      </c>
      <c r="K162" s="36">
        <f>'Majapidamiste nõudlus asulates'!M88</f>
        <v>3718.1110933520154</v>
      </c>
      <c r="L162" s="36">
        <f>'Majapidamiste nõudlus asulates'!N88</f>
        <v>3677.1470330326038</v>
      </c>
      <c r="M162" s="36">
        <f>'Majapidamiste nõudlus asulates'!O88</f>
        <v>3635.8394585805354</v>
      </c>
      <c r="N162" s="36">
        <f>'Majapidamiste nõudlus asulates'!P88</f>
        <v>3594.360127062138</v>
      </c>
      <c r="O162" s="36">
        <f>'Majapidamiste nõudlus asulates'!Q88</f>
        <v>3552.6231599442467</v>
      </c>
      <c r="P162" s="36">
        <f>'Majapidamiste nõudlus asulates'!R88</f>
        <v>3510.4568001605344</v>
      </c>
      <c r="Q162" s="36">
        <f>'Majapidamiste nõudlus asulates'!S88</f>
        <v>3469.3209827747942</v>
      </c>
      <c r="R162" s="36">
        <f>'Majapidamiste nõudlus asulates'!T88</f>
        <v>3428.6671982321627</v>
      </c>
      <c r="S162" s="36">
        <f>'Majapidamiste nõudlus asulates'!U88</f>
        <v>3388.4897980327064</v>
      </c>
      <c r="T162" s="36">
        <f>'Majapidamiste nõudlus asulates'!V88</f>
        <v>3348.7831998660686</v>
      </c>
    </row>
    <row r="163" spans="1:20" x14ac:dyDescent="0.25">
      <c r="A163" s="48" t="s">
        <v>177</v>
      </c>
      <c r="B163" s="53">
        <v>1450</v>
      </c>
      <c r="C163" s="21">
        <v>1135</v>
      </c>
      <c r="D163" s="21">
        <v>1786</v>
      </c>
      <c r="E163" s="53">
        <v>2163</v>
      </c>
      <c r="F163" s="21">
        <f>E163</f>
        <v>2163</v>
      </c>
      <c r="G163" s="21">
        <f t="shared" ref="G163:Q163" si="50">F163</f>
        <v>2163</v>
      </c>
      <c r="H163" s="21">
        <f t="shared" si="50"/>
        <v>2163</v>
      </c>
      <c r="I163" s="21">
        <f t="shared" si="50"/>
        <v>2163</v>
      </c>
      <c r="J163" s="21">
        <f t="shared" si="50"/>
        <v>2163</v>
      </c>
      <c r="K163" s="21">
        <f t="shared" si="50"/>
        <v>2163</v>
      </c>
      <c r="L163" s="21">
        <f t="shared" si="50"/>
        <v>2163</v>
      </c>
      <c r="M163" s="21">
        <f t="shared" si="50"/>
        <v>2163</v>
      </c>
      <c r="N163" s="21">
        <f t="shared" si="50"/>
        <v>2163</v>
      </c>
      <c r="O163" s="21">
        <f t="shared" si="50"/>
        <v>2163</v>
      </c>
      <c r="P163" s="21">
        <f t="shared" si="50"/>
        <v>2163</v>
      </c>
      <c r="Q163" s="21">
        <f t="shared" si="50"/>
        <v>2163</v>
      </c>
      <c r="R163" s="21">
        <f t="shared" ref="R163" si="51">Q163</f>
        <v>2163</v>
      </c>
      <c r="S163" s="21">
        <f t="shared" ref="S163" si="52">R163</f>
        <v>2163</v>
      </c>
      <c r="T163" s="21">
        <f t="shared" ref="T163" si="53">S163</f>
        <v>2163</v>
      </c>
    </row>
    <row r="164" spans="1:20" x14ac:dyDescent="0.25">
      <c r="A164" s="52" t="s">
        <v>210</v>
      </c>
      <c r="B164" s="57">
        <f>B162+B163</f>
        <v>5650</v>
      </c>
      <c r="C164" s="36">
        <f t="shared" ref="C164:P164" si="54">C162+C163</f>
        <v>5181.5201151222955</v>
      </c>
      <c r="D164" s="36">
        <f t="shared" si="54"/>
        <v>4891</v>
      </c>
      <c r="E164" s="57">
        <f t="shared" si="54"/>
        <v>5485</v>
      </c>
      <c r="F164" s="36">
        <f t="shared" si="54"/>
        <v>5933.0538653511621</v>
      </c>
      <c r="G164" s="36">
        <f t="shared" si="54"/>
        <v>5892.9039335261486</v>
      </c>
      <c r="H164" s="36">
        <f t="shared" si="54"/>
        <v>6005.7208449735372</v>
      </c>
      <c r="I164" s="36">
        <f t="shared" si="54"/>
        <v>5963.7262422561525</v>
      </c>
      <c r="J164" s="36">
        <f t="shared" si="54"/>
        <v>5922.2469107377547</v>
      </c>
      <c r="K164" s="36">
        <f t="shared" si="54"/>
        <v>5881.1110933520158</v>
      </c>
      <c r="L164" s="36">
        <f t="shared" si="54"/>
        <v>5840.1470330326038</v>
      </c>
      <c r="M164" s="36">
        <f t="shared" si="54"/>
        <v>5798.8394585805354</v>
      </c>
      <c r="N164" s="36">
        <f t="shared" si="54"/>
        <v>5757.3601270621384</v>
      </c>
      <c r="O164" s="36">
        <f t="shared" si="54"/>
        <v>5715.6231599442472</v>
      </c>
      <c r="P164" s="36">
        <f t="shared" si="54"/>
        <v>5673.4568001605348</v>
      </c>
      <c r="Q164" s="36">
        <f t="shared" ref="Q164:T164" si="55">Q162+Q163</f>
        <v>5632.3209827747942</v>
      </c>
      <c r="R164" s="36">
        <f t="shared" si="55"/>
        <v>5591.6671982321623</v>
      </c>
      <c r="S164" s="36">
        <f t="shared" si="55"/>
        <v>5551.4897980327059</v>
      </c>
      <c r="T164" s="36">
        <f t="shared" si="55"/>
        <v>5511.7831998660686</v>
      </c>
    </row>
    <row r="165" spans="1:20" x14ac:dyDescent="0.25">
      <c r="A165" s="53" t="s">
        <v>206</v>
      </c>
      <c r="B165" s="58">
        <f>B20</f>
        <v>6.3794531897265944E-2</v>
      </c>
      <c r="C165" s="38">
        <f>C20</f>
        <v>6.3492063492063489E-2</v>
      </c>
      <c r="D165" s="38">
        <f>$D$20</f>
        <v>0.159333104159505</v>
      </c>
      <c r="E165" s="58">
        <f>$E$20</f>
        <v>0.11887550200803212</v>
      </c>
      <c r="F165" s="38">
        <f>($D$165+$E$165)/2</f>
        <v>0.13910430308376856</v>
      </c>
      <c r="G165" s="38">
        <f>($D$165+$E$165)/2</f>
        <v>0.13910430308376856</v>
      </c>
      <c r="H165" s="128">
        <v>0.129</v>
      </c>
      <c r="I165" s="128">
        <v>0.1</v>
      </c>
      <c r="J165" s="128">
        <v>0.1</v>
      </c>
      <c r="K165" s="128">
        <v>0.1</v>
      </c>
      <c r="L165" s="128">
        <v>0.1</v>
      </c>
      <c r="M165" s="128">
        <v>0.1</v>
      </c>
      <c r="N165" s="128">
        <v>0.1</v>
      </c>
      <c r="O165" s="128">
        <v>0.1</v>
      </c>
      <c r="P165" s="128">
        <v>0.1</v>
      </c>
      <c r="Q165" s="128">
        <v>0.1</v>
      </c>
      <c r="R165" s="128">
        <v>0.1</v>
      </c>
      <c r="S165" s="128">
        <v>0.1</v>
      </c>
      <c r="T165" s="128">
        <v>0.1</v>
      </c>
    </row>
    <row r="166" spans="1:20" x14ac:dyDescent="0.25">
      <c r="A166" s="47" t="s">
        <v>205</v>
      </c>
      <c r="B166" s="45">
        <f>B167-B164</f>
        <v>385</v>
      </c>
      <c r="C166" s="25">
        <f t="shared" ref="C166:P166" si="56">C167-C164</f>
        <v>351.28949933032527</v>
      </c>
      <c r="D166" s="25">
        <f t="shared" si="56"/>
        <v>927</v>
      </c>
      <c r="E166" s="45">
        <f t="shared" si="56"/>
        <v>740</v>
      </c>
      <c r="F166" s="25">
        <f t="shared" si="56"/>
        <v>958.66819413134817</v>
      </c>
      <c r="G166" s="25">
        <f t="shared" si="56"/>
        <v>952.18073193890723</v>
      </c>
      <c r="H166" s="25">
        <f t="shared" si="56"/>
        <v>889.48104362983577</v>
      </c>
      <c r="I166" s="25">
        <f t="shared" si="56"/>
        <v>662.6362491395721</v>
      </c>
      <c r="J166" s="25">
        <f t="shared" si="56"/>
        <v>658.02743452641698</v>
      </c>
      <c r="K166" s="25">
        <f t="shared" si="56"/>
        <v>653.45678815022347</v>
      </c>
      <c r="L166" s="25">
        <f t="shared" si="56"/>
        <v>648.90522589251214</v>
      </c>
      <c r="M166" s="25">
        <f t="shared" si="56"/>
        <v>644.31549539783737</v>
      </c>
      <c r="N166" s="25">
        <f t="shared" si="56"/>
        <v>639.70668078468225</v>
      </c>
      <c r="O166" s="25">
        <f t="shared" si="56"/>
        <v>635.06923999380615</v>
      </c>
      <c r="P166" s="25">
        <f t="shared" si="56"/>
        <v>630.38408890672599</v>
      </c>
      <c r="Q166" s="25">
        <f t="shared" ref="Q166:T166" si="57">Q167-Q164</f>
        <v>625.81344253053339</v>
      </c>
      <c r="R166" s="25">
        <f t="shared" si="57"/>
        <v>621.29635535912894</v>
      </c>
      <c r="S166" s="25">
        <f t="shared" si="57"/>
        <v>616.83219978141187</v>
      </c>
      <c r="T166" s="25">
        <f t="shared" si="57"/>
        <v>612.42035554067479</v>
      </c>
    </row>
    <row r="167" spans="1:20" x14ac:dyDescent="0.25">
      <c r="A167" s="93" t="s">
        <v>271</v>
      </c>
      <c r="B167" s="59">
        <f>B164/(1-B165)*100/100</f>
        <v>6035</v>
      </c>
      <c r="C167" s="33">
        <f t="shared" ref="C167:P167" si="58">C164/(1-C165)*100/100</f>
        <v>5532.8096144526207</v>
      </c>
      <c r="D167" s="33">
        <f t="shared" si="58"/>
        <v>5818</v>
      </c>
      <c r="E167" s="59">
        <f t="shared" si="58"/>
        <v>6225</v>
      </c>
      <c r="F167" s="33">
        <f t="shared" si="58"/>
        <v>6891.7220594825103</v>
      </c>
      <c r="G167" s="33">
        <f t="shared" si="58"/>
        <v>6845.0846654650559</v>
      </c>
      <c r="H167" s="33">
        <f t="shared" si="58"/>
        <v>6895.2018886033729</v>
      </c>
      <c r="I167" s="33">
        <f t="shared" si="58"/>
        <v>6626.3624913957246</v>
      </c>
      <c r="J167" s="33">
        <f t="shared" si="58"/>
        <v>6580.2743452641716</v>
      </c>
      <c r="K167" s="33">
        <f t="shared" si="58"/>
        <v>6534.5678815022393</v>
      </c>
      <c r="L167" s="33">
        <f t="shared" si="58"/>
        <v>6489.0522589251159</v>
      </c>
      <c r="M167" s="33">
        <f t="shared" si="58"/>
        <v>6443.1549539783728</v>
      </c>
      <c r="N167" s="33">
        <f t="shared" si="58"/>
        <v>6397.0668078468207</v>
      </c>
      <c r="O167" s="33">
        <f t="shared" si="58"/>
        <v>6350.6923999380533</v>
      </c>
      <c r="P167" s="33">
        <f t="shared" si="58"/>
        <v>6303.8408890672608</v>
      </c>
      <c r="Q167" s="33">
        <f t="shared" ref="Q167:T167" si="59">Q164/(1-Q165)*100/100</f>
        <v>6258.1344253053276</v>
      </c>
      <c r="R167" s="33">
        <f t="shared" si="59"/>
        <v>6212.9635535912912</v>
      </c>
      <c r="S167" s="33">
        <f t="shared" si="59"/>
        <v>6168.3219978141178</v>
      </c>
      <c r="T167" s="33">
        <f t="shared" si="59"/>
        <v>6124.2035554067434</v>
      </c>
    </row>
    <row r="168" spans="1:20" x14ac:dyDescent="0.25">
      <c r="A168" s="48" t="s">
        <v>178</v>
      </c>
      <c r="B168" s="57">
        <f>'Majapidamiste nõudlus asulates'!D89</f>
        <v>570</v>
      </c>
      <c r="C168" s="36">
        <f>'Majapidamiste nõudlus asulates'!E89</f>
        <v>656.2262445853155</v>
      </c>
      <c r="D168" s="36">
        <f>'Majapidamiste nõudlus asulates'!F89</f>
        <v>872</v>
      </c>
      <c r="E168" s="57">
        <f>'Majapidamiste nõudlus asulates'!G89</f>
        <v>892</v>
      </c>
      <c r="F168" s="36">
        <f>'Majapidamiste nõudlus asulates'!H89</f>
        <v>882.56237829417125</v>
      </c>
      <c r="G168" s="36">
        <f>'Majapidamiste nõudlus asulates'!I89</f>
        <v>873.16335626812076</v>
      </c>
      <c r="H168" s="36">
        <f>'Majapidamiste nõudlus asulates'!J89</f>
        <v>863.59063568306749</v>
      </c>
      <c r="I168" s="36">
        <f>'Majapidamiste nõudlus asulates'!K89</f>
        <v>854.1530139772384</v>
      </c>
      <c r="J168" s="36">
        <f>'Majapidamiste nõudlus asulates'!L89</f>
        <v>844.831191310745</v>
      </c>
      <c r="K168" s="36">
        <f>'Majapidamiste nõudlus asulates'!M89</f>
        <v>835.58656800380822</v>
      </c>
      <c r="L168" s="36">
        <f>'Majapidamiste nõudlus asulates'!N89</f>
        <v>826.38054437664982</v>
      </c>
      <c r="M168" s="36">
        <f>'Majapidamiste nõudlus asulates'!O89</f>
        <v>817.09732138993479</v>
      </c>
      <c r="N168" s="36">
        <f>'Majapidamiste nõudlus asulates'!P89</f>
        <v>807.77549872344127</v>
      </c>
      <c r="O168" s="36">
        <f>'Majapidamiste nõudlus asulates'!Q89</f>
        <v>798.39577653727986</v>
      </c>
      <c r="P168" s="36">
        <f>'Majapidamiste nõudlus asulates'!R89</f>
        <v>788.91955515167274</v>
      </c>
      <c r="Q168" s="36">
        <f>'Majapidamiste nõudlus asulates'!S89</f>
        <v>779.67493184473608</v>
      </c>
      <c r="R168" s="36">
        <f>'Majapidamiste nõudlus asulates'!T89</f>
        <v>770.53863778319464</v>
      </c>
      <c r="S168" s="36">
        <f>'Majapidamiste nõudlus asulates'!U89</f>
        <v>761.50940355616842</v>
      </c>
      <c r="T168" s="36">
        <f>'Majapidamiste nõudlus asulates'!V89</f>
        <v>752.58597462783689</v>
      </c>
    </row>
    <row r="169" spans="1:20" x14ac:dyDescent="0.25">
      <c r="A169" s="48" t="s">
        <v>179</v>
      </c>
      <c r="B169" s="53">
        <v>220</v>
      </c>
      <c r="C169" s="21">
        <v>213</v>
      </c>
      <c r="D169" s="21">
        <v>224</v>
      </c>
      <c r="E169" s="53">
        <v>256</v>
      </c>
      <c r="F169" s="21">
        <v>256</v>
      </c>
      <c r="G169" s="21">
        <v>256</v>
      </c>
      <c r="H169" s="21">
        <v>256</v>
      </c>
      <c r="I169" s="21">
        <v>256</v>
      </c>
      <c r="J169" s="21">
        <v>256</v>
      </c>
      <c r="K169" s="21">
        <v>256</v>
      </c>
      <c r="L169" s="21">
        <v>256</v>
      </c>
      <c r="M169" s="21">
        <v>256</v>
      </c>
      <c r="N169" s="21">
        <v>256</v>
      </c>
      <c r="O169" s="21">
        <v>256</v>
      </c>
      <c r="P169" s="21">
        <v>256</v>
      </c>
      <c r="Q169" s="21">
        <v>256</v>
      </c>
      <c r="R169" s="21">
        <v>256</v>
      </c>
      <c r="S169" s="21">
        <v>256</v>
      </c>
      <c r="T169" s="21">
        <v>256</v>
      </c>
    </row>
    <row r="170" spans="1:20" x14ac:dyDescent="0.25">
      <c r="A170" s="52" t="s">
        <v>211</v>
      </c>
      <c r="B170" s="57">
        <f>B168+B169</f>
        <v>790</v>
      </c>
      <c r="C170" s="36">
        <f t="shared" ref="C170:P170" si="60">C168+C169</f>
        <v>869.2262445853155</v>
      </c>
      <c r="D170" s="36">
        <f t="shared" si="60"/>
        <v>1096</v>
      </c>
      <c r="E170" s="57">
        <f t="shared" si="60"/>
        <v>1148</v>
      </c>
      <c r="F170" s="36">
        <f t="shared" si="60"/>
        <v>1138.5623782941711</v>
      </c>
      <c r="G170" s="36">
        <f t="shared" si="60"/>
        <v>1129.1633562681209</v>
      </c>
      <c r="H170" s="36">
        <f t="shared" si="60"/>
        <v>1119.5906356830674</v>
      </c>
      <c r="I170" s="36">
        <f t="shared" si="60"/>
        <v>1110.1530139772385</v>
      </c>
      <c r="J170" s="36">
        <f t="shared" si="60"/>
        <v>1100.831191310745</v>
      </c>
      <c r="K170" s="36">
        <f t="shared" si="60"/>
        <v>1091.5865680038082</v>
      </c>
      <c r="L170" s="36">
        <f t="shared" si="60"/>
        <v>1082.3805443766498</v>
      </c>
      <c r="M170" s="36">
        <f t="shared" si="60"/>
        <v>1073.0973213899347</v>
      </c>
      <c r="N170" s="36">
        <f t="shared" si="60"/>
        <v>1063.7754987234412</v>
      </c>
      <c r="O170" s="36">
        <f t="shared" si="60"/>
        <v>1054.3957765372797</v>
      </c>
      <c r="P170" s="36">
        <f t="shared" si="60"/>
        <v>1044.9195551516727</v>
      </c>
      <c r="Q170" s="36">
        <f t="shared" ref="Q170:T170" si="61">Q168+Q169</f>
        <v>1035.674931844736</v>
      </c>
      <c r="R170" s="36">
        <f t="shared" si="61"/>
        <v>1026.5386377831946</v>
      </c>
      <c r="S170" s="36">
        <f t="shared" si="61"/>
        <v>1017.5094035561684</v>
      </c>
      <c r="T170" s="36">
        <f t="shared" si="61"/>
        <v>1008.5859746278369</v>
      </c>
    </row>
    <row r="171" spans="1:20" x14ac:dyDescent="0.25">
      <c r="A171" s="21" t="s">
        <v>206</v>
      </c>
      <c r="B171" s="58">
        <f>B56</f>
        <v>0.21</v>
      </c>
      <c r="C171" s="38">
        <f>C56</f>
        <v>0.25773195876288657</v>
      </c>
      <c r="D171" s="38">
        <f>$D$56</f>
        <v>0.39581036383682472</v>
      </c>
      <c r="E171" s="58">
        <f>$E$56</f>
        <v>0.26972010178117051</v>
      </c>
      <c r="F171" s="38">
        <f>($D$56+$E$56)/2</f>
        <v>0.33276523280899761</v>
      </c>
      <c r="G171" s="38">
        <f t="shared" ref="G171:T171" si="62">($D$56+$E$56)/2</f>
        <v>0.33276523280899761</v>
      </c>
      <c r="H171" s="38">
        <f t="shared" si="62"/>
        <v>0.33276523280899761</v>
      </c>
      <c r="I171" s="38">
        <f t="shared" si="62"/>
        <v>0.33276523280899761</v>
      </c>
      <c r="J171" s="38">
        <f t="shared" si="62"/>
        <v>0.33276523280899761</v>
      </c>
      <c r="K171" s="38">
        <f t="shared" si="62"/>
        <v>0.33276523280899761</v>
      </c>
      <c r="L171" s="38">
        <f t="shared" si="62"/>
        <v>0.33276523280899761</v>
      </c>
      <c r="M171" s="38">
        <f t="shared" si="62"/>
        <v>0.33276523280899761</v>
      </c>
      <c r="N171" s="38">
        <f t="shared" si="62"/>
        <v>0.33276523280899761</v>
      </c>
      <c r="O171" s="38">
        <f t="shared" si="62"/>
        <v>0.33276523280899761</v>
      </c>
      <c r="P171" s="38">
        <f t="shared" si="62"/>
        <v>0.33276523280899761</v>
      </c>
      <c r="Q171" s="38">
        <f t="shared" si="62"/>
        <v>0.33276523280899761</v>
      </c>
      <c r="R171" s="38">
        <f t="shared" si="62"/>
        <v>0.33276523280899761</v>
      </c>
      <c r="S171" s="38">
        <f t="shared" si="62"/>
        <v>0.33276523280899761</v>
      </c>
      <c r="T171" s="38">
        <f t="shared" si="62"/>
        <v>0.33276523280899761</v>
      </c>
    </row>
    <row r="172" spans="1:20" x14ac:dyDescent="0.25">
      <c r="A172" s="47" t="s">
        <v>205</v>
      </c>
      <c r="B172" s="45">
        <f>B173-B170</f>
        <v>210</v>
      </c>
      <c r="C172" s="25">
        <f t="shared" ref="C172:P172" si="63">C173-C170</f>
        <v>301.81466825879011</v>
      </c>
      <c r="D172" s="25">
        <f t="shared" si="63"/>
        <v>718</v>
      </c>
      <c r="E172" s="45">
        <f t="shared" si="63"/>
        <v>424.00000000000023</v>
      </c>
      <c r="F172" s="25">
        <f t="shared" si="63"/>
        <v>567.82708802128354</v>
      </c>
      <c r="G172" s="25">
        <f t="shared" si="63"/>
        <v>563.13958085518857</v>
      </c>
      <c r="H172" s="25">
        <f t="shared" si="63"/>
        <v>558.36544624659882</v>
      </c>
      <c r="I172" s="25">
        <f t="shared" si="63"/>
        <v>553.65868853772758</v>
      </c>
      <c r="J172" s="25">
        <f t="shared" si="63"/>
        <v>549.00968245718536</v>
      </c>
      <c r="K172" s="25">
        <f t="shared" si="63"/>
        <v>544.39917746219658</v>
      </c>
      <c r="L172" s="25">
        <f t="shared" si="63"/>
        <v>539.80792300998428</v>
      </c>
      <c r="M172" s="25">
        <f t="shared" si="63"/>
        <v>535.178167472219</v>
      </c>
      <c r="N172" s="25">
        <f t="shared" si="63"/>
        <v>530.52916139167723</v>
      </c>
      <c r="O172" s="25">
        <f t="shared" si="63"/>
        <v>525.85127949697039</v>
      </c>
      <c r="P172" s="25">
        <f t="shared" si="63"/>
        <v>521.12527124532221</v>
      </c>
      <c r="Q172" s="25">
        <f t="shared" ref="Q172:T172" si="64">Q173-Q170</f>
        <v>516.51476625033342</v>
      </c>
      <c r="R172" s="25">
        <f t="shared" si="64"/>
        <v>511.95828752666148</v>
      </c>
      <c r="S172" s="25">
        <f t="shared" si="64"/>
        <v>507.45520199007785</v>
      </c>
      <c r="T172" s="25">
        <f t="shared" si="64"/>
        <v>503.00488397488823</v>
      </c>
    </row>
    <row r="173" spans="1:20" x14ac:dyDescent="0.25">
      <c r="A173" s="93" t="s">
        <v>273</v>
      </c>
      <c r="B173" s="59">
        <f>B170/(1-B171)*100/100</f>
        <v>1000</v>
      </c>
      <c r="C173" s="33">
        <f t="shared" ref="C173:P173" si="65">C170/(1-C171)*100/100</f>
        <v>1171.0409128441056</v>
      </c>
      <c r="D173" s="33">
        <f t="shared" si="65"/>
        <v>1814</v>
      </c>
      <c r="E173" s="59">
        <f t="shared" si="65"/>
        <v>1572.0000000000002</v>
      </c>
      <c r="F173" s="33">
        <f t="shared" si="65"/>
        <v>1706.3894663154547</v>
      </c>
      <c r="G173" s="33">
        <f t="shared" si="65"/>
        <v>1692.3029371233094</v>
      </c>
      <c r="H173" s="33">
        <f t="shared" si="65"/>
        <v>1677.9560819296662</v>
      </c>
      <c r="I173" s="33">
        <f t="shared" si="65"/>
        <v>1663.8117025149661</v>
      </c>
      <c r="J173" s="33">
        <f t="shared" si="65"/>
        <v>1649.8408737679304</v>
      </c>
      <c r="K173" s="33">
        <f t="shared" si="65"/>
        <v>1635.9857454660048</v>
      </c>
      <c r="L173" s="33">
        <f t="shared" si="65"/>
        <v>1622.1884673866341</v>
      </c>
      <c r="M173" s="33">
        <f t="shared" si="65"/>
        <v>1608.2754888621537</v>
      </c>
      <c r="N173" s="33">
        <f t="shared" si="65"/>
        <v>1594.3046601151184</v>
      </c>
      <c r="O173" s="33">
        <f t="shared" si="65"/>
        <v>1580.2470560342501</v>
      </c>
      <c r="P173" s="33">
        <f t="shared" si="65"/>
        <v>1566.0448263969949</v>
      </c>
      <c r="Q173" s="33">
        <f t="shared" ref="Q173:T173" si="66">Q170/(1-Q171)*100/100</f>
        <v>1552.1896980950694</v>
      </c>
      <c r="R173" s="33">
        <f t="shared" si="66"/>
        <v>1538.4969253098561</v>
      </c>
      <c r="S173" s="33">
        <f t="shared" si="66"/>
        <v>1524.9646055462463</v>
      </c>
      <c r="T173" s="33">
        <f t="shared" si="66"/>
        <v>1511.5908586027251</v>
      </c>
    </row>
    <row r="174" spans="1:20" x14ac:dyDescent="0.25">
      <c r="A174" s="55" t="s">
        <v>244</v>
      </c>
      <c r="B174" s="57">
        <f>'Majapidamiste nõudlus asulates'!D90</f>
        <v>2570</v>
      </c>
      <c r="C174" s="36">
        <f>'Majapidamiste nõudlus asulates'!E90</f>
        <v>2632.9241346504432</v>
      </c>
      <c r="D174" s="36">
        <f>'Majapidamiste nõudlus asulates'!F90</f>
        <v>2459</v>
      </c>
      <c r="E174" s="57">
        <f>'Majapidamiste nõudlus asulates'!G90</f>
        <v>2569</v>
      </c>
      <c r="F174" s="36">
        <f>'Majapidamiste nõudlus asulates'!H90</f>
        <v>2558.4973537381225</v>
      </c>
      <c r="G174" s="36">
        <f>'Majapidamiste nõudlus asulates'!I90</f>
        <v>2548.0376630846786</v>
      </c>
      <c r="H174" s="36">
        <f>'Majapidamiste nõudlus asulates'!J90</f>
        <v>2537.3846721932855</v>
      </c>
      <c r="I174" s="36">
        <f>'Majapidamiste nõudlus asulates'!K90</f>
        <v>2526.882025931408</v>
      </c>
      <c r="J174" s="36">
        <f>'Majapidamiste nõudlus asulates'!L90</f>
        <v>2516.50824649483</v>
      </c>
      <c r="K174" s="36">
        <f>'Majapidamiste nõudlus asulates'!M90</f>
        <v>2506.220378275118</v>
      </c>
      <c r="L174" s="36">
        <f>'Majapidamiste nõudlus asulates'!N90</f>
        <v>2495.9754656638393</v>
      </c>
      <c r="M174" s="36">
        <f>'Majapidamiste nõudlus asulates'!O90</f>
        <v>2485.6446418356936</v>
      </c>
      <c r="N174" s="36">
        <f>'Majapidamiste nõudlus asulates'!P90</f>
        <v>2475.2708623991161</v>
      </c>
      <c r="O174" s="36">
        <f>'Majapidamiste nõudlus asulates'!Q90</f>
        <v>2464.8326495498882</v>
      </c>
      <c r="P174" s="36">
        <f>'Majapidamiste nõudlus asulates'!R90</f>
        <v>2454.2870476795779</v>
      </c>
      <c r="Q174" s="36">
        <f>'Majapidamiste nõudlus asulates'!S90</f>
        <v>2443.9991794598654</v>
      </c>
      <c r="R174" s="36">
        <f>'Majapidamiste nõudlus asulates'!T90</f>
        <v>2433.8318653140154</v>
      </c>
      <c r="S174" s="36">
        <f>'Majapidamiste nõudlus asulates'!U90</f>
        <v>2423.7836925796155</v>
      </c>
      <c r="T174" s="36">
        <f>'Majapidamiste nõudlus asulates'!V90</f>
        <v>2413.8532651479482</v>
      </c>
    </row>
    <row r="175" spans="1:20" x14ac:dyDescent="0.25">
      <c r="A175" s="48" t="s">
        <v>191</v>
      </c>
      <c r="B175" s="53">
        <v>260</v>
      </c>
      <c r="C175" s="21">
        <v>253</v>
      </c>
      <c r="D175" s="21">
        <v>209</v>
      </c>
      <c r="E175" s="53">
        <v>343</v>
      </c>
      <c r="F175" s="21">
        <v>343</v>
      </c>
      <c r="G175" s="21">
        <v>343</v>
      </c>
      <c r="H175" s="21">
        <v>343</v>
      </c>
      <c r="I175" s="21">
        <v>343</v>
      </c>
      <c r="J175" s="21">
        <v>343</v>
      </c>
      <c r="K175" s="21">
        <v>343</v>
      </c>
      <c r="L175" s="21">
        <v>343</v>
      </c>
      <c r="M175" s="21">
        <v>343</v>
      </c>
      <c r="N175" s="21">
        <v>343</v>
      </c>
      <c r="O175" s="21">
        <v>343</v>
      </c>
      <c r="P175" s="21">
        <v>343</v>
      </c>
      <c r="Q175" s="21">
        <v>343</v>
      </c>
      <c r="R175" s="21">
        <v>343</v>
      </c>
      <c r="S175" s="21">
        <v>343</v>
      </c>
      <c r="T175" s="21">
        <v>343</v>
      </c>
    </row>
    <row r="176" spans="1:20" x14ac:dyDescent="0.25">
      <c r="A176" s="52" t="s">
        <v>212</v>
      </c>
      <c r="B176" s="57">
        <f>B174+B175</f>
        <v>2830</v>
      </c>
      <c r="C176" s="36">
        <f t="shared" ref="C176:P176" si="67">C174+C175</f>
        <v>2885.9241346504432</v>
      </c>
      <c r="D176" s="36">
        <f t="shared" si="67"/>
        <v>2668</v>
      </c>
      <c r="E176" s="57">
        <f t="shared" si="67"/>
        <v>2912</v>
      </c>
      <c r="F176" s="36">
        <f t="shared" si="67"/>
        <v>2901.4973537381225</v>
      </c>
      <c r="G176" s="36">
        <f t="shared" si="67"/>
        <v>2891.0376630846786</v>
      </c>
      <c r="H176" s="36">
        <f t="shared" si="67"/>
        <v>2880.3846721932855</v>
      </c>
      <c r="I176" s="36">
        <f t="shared" si="67"/>
        <v>2869.882025931408</v>
      </c>
      <c r="J176" s="36">
        <f t="shared" si="67"/>
        <v>2859.50824649483</v>
      </c>
      <c r="K176" s="36">
        <f t="shared" si="67"/>
        <v>2849.220378275118</v>
      </c>
      <c r="L176" s="36">
        <f t="shared" si="67"/>
        <v>2838.9754656638393</v>
      </c>
      <c r="M176" s="36">
        <f t="shared" si="67"/>
        <v>2828.6446418356936</v>
      </c>
      <c r="N176" s="36">
        <f t="shared" si="67"/>
        <v>2818.2708623991161</v>
      </c>
      <c r="O176" s="36">
        <f t="shared" si="67"/>
        <v>2807.8326495498882</v>
      </c>
      <c r="P176" s="36">
        <f t="shared" si="67"/>
        <v>2797.2870476795779</v>
      </c>
      <c r="Q176" s="36">
        <f t="shared" ref="Q176:T176" si="68">Q174+Q175</f>
        <v>2786.9991794598654</v>
      </c>
      <c r="R176" s="36">
        <f t="shared" si="68"/>
        <v>2776.8318653140154</v>
      </c>
      <c r="S176" s="36">
        <f t="shared" si="68"/>
        <v>2766.7836925796155</v>
      </c>
      <c r="T176" s="36">
        <f t="shared" si="68"/>
        <v>2756.8532651479482</v>
      </c>
    </row>
    <row r="177" spans="1:20" x14ac:dyDescent="0.25">
      <c r="A177" s="21" t="s">
        <v>206</v>
      </c>
      <c r="B177" s="58">
        <f>B50</f>
        <v>0.14242424242424243</v>
      </c>
      <c r="C177" s="38">
        <f>C50</f>
        <v>0.1484848484848485</v>
      </c>
      <c r="D177" s="38">
        <f>$D$50</f>
        <v>0.20663562281722933</v>
      </c>
      <c r="E177" s="58">
        <f>$E$50</f>
        <v>0.24166666666666667</v>
      </c>
      <c r="F177" s="37">
        <f>($D$177+$E$177)/2</f>
        <v>0.224151144741948</v>
      </c>
      <c r="G177" s="37">
        <f t="shared" ref="G177:T177" si="69">($D$177+$E$177)/2</f>
        <v>0.224151144741948</v>
      </c>
      <c r="H177" s="37">
        <f t="shared" si="69"/>
        <v>0.224151144741948</v>
      </c>
      <c r="I177" s="37">
        <f t="shared" si="69"/>
        <v>0.224151144741948</v>
      </c>
      <c r="J177" s="37">
        <f t="shared" si="69"/>
        <v>0.224151144741948</v>
      </c>
      <c r="K177" s="37">
        <f t="shared" si="69"/>
        <v>0.224151144741948</v>
      </c>
      <c r="L177" s="37">
        <f t="shared" si="69"/>
        <v>0.224151144741948</v>
      </c>
      <c r="M177" s="37">
        <f t="shared" si="69"/>
        <v>0.224151144741948</v>
      </c>
      <c r="N177" s="37">
        <f t="shared" si="69"/>
        <v>0.224151144741948</v>
      </c>
      <c r="O177" s="37">
        <f t="shared" si="69"/>
        <v>0.224151144741948</v>
      </c>
      <c r="P177" s="37">
        <f t="shared" si="69"/>
        <v>0.224151144741948</v>
      </c>
      <c r="Q177" s="37">
        <f t="shared" si="69"/>
        <v>0.224151144741948</v>
      </c>
      <c r="R177" s="37">
        <f t="shared" si="69"/>
        <v>0.224151144741948</v>
      </c>
      <c r="S177" s="37">
        <f t="shared" si="69"/>
        <v>0.224151144741948</v>
      </c>
      <c r="T177" s="37">
        <f t="shared" si="69"/>
        <v>0.224151144741948</v>
      </c>
    </row>
    <row r="178" spans="1:20" x14ac:dyDescent="0.25">
      <c r="A178" s="47" t="s">
        <v>205</v>
      </c>
      <c r="B178" s="45">
        <f>B179-B176</f>
        <v>470</v>
      </c>
      <c r="C178" s="25">
        <f t="shared" ref="C178:P178" si="70">C179-C176</f>
        <v>503.23943985007691</v>
      </c>
      <c r="D178" s="25">
        <f t="shared" si="70"/>
        <v>694.8936170212769</v>
      </c>
      <c r="E178" s="45">
        <f t="shared" si="70"/>
        <v>928</v>
      </c>
      <c r="F178" s="25">
        <f t="shared" si="70"/>
        <v>838.27403868478314</v>
      </c>
      <c r="G178" s="25">
        <f t="shared" si="70"/>
        <v>835.25212066850099</v>
      </c>
      <c r="H178" s="25">
        <f t="shared" si="70"/>
        <v>832.17435611803694</v>
      </c>
      <c r="I178" s="25">
        <f t="shared" si="70"/>
        <v>829.14002776082543</v>
      </c>
      <c r="J178" s="25">
        <f t="shared" si="70"/>
        <v>826.14293042640202</v>
      </c>
      <c r="K178" s="25">
        <f t="shared" si="70"/>
        <v>823.17065377383688</v>
      </c>
      <c r="L178" s="25">
        <f t="shared" si="70"/>
        <v>820.21078746220155</v>
      </c>
      <c r="M178" s="25">
        <f t="shared" si="70"/>
        <v>817.22610046870705</v>
      </c>
      <c r="N178" s="25">
        <f t="shared" si="70"/>
        <v>814.22900313428363</v>
      </c>
      <c r="O178" s="25">
        <f t="shared" si="70"/>
        <v>811.21329028846594</v>
      </c>
      <c r="P178" s="25">
        <f t="shared" si="70"/>
        <v>808.16655159032553</v>
      </c>
      <c r="Q178" s="25">
        <f t="shared" ref="Q178:T178" si="71">Q179-Q176</f>
        <v>805.19427493776038</v>
      </c>
      <c r="R178" s="25">
        <f t="shared" si="71"/>
        <v>802.25682766397995</v>
      </c>
      <c r="S178" s="25">
        <f t="shared" si="71"/>
        <v>799.35380163550008</v>
      </c>
      <c r="T178" s="25">
        <f t="shared" si="71"/>
        <v>796.48479350137723</v>
      </c>
    </row>
    <row r="179" spans="1:20" x14ac:dyDescent="0.25">
      <c r="A179" s="93" t="s">
        <v>274</v>
      </c>
      <c r="B179" s="59">
        <f>B176/(1-B177)*100/100</f>
        <v>3300</v>
      </c>
      <c r="C179" s="33">
        <f t="shared" ref="C179:P179" si="72">C176/(1-C177)*100/100</f>
        <v>3389.1635745005201</v>
      </c>
      <c r="D179" s="33">
        <f t="shared" si="72"/>
        <v>3362.8936170212769</v>
      </c>
      <c r="E179" s="59">
        <f t="shared" si="72"/>
        <v>3840</v>
      </c>
      <c r="F179" s="33">
        <f t="shared" si="72"/>
        <v>3739.7713924229056</v>
      </c>
      <c r="G179" s="33">
        <f t="shared" si="72"/>
        <v>3726.2897837531796</v>
      </c>
      <c r="H179" s="33">
        <f t="shared" si="72"/>
        <v>3712.5590283113224</v>
      </c>
      <c r="I179" s="33">
        <f t="shared" si="72"/>
        <v>3699.0220536922334</v>
      </c>
      <c r="J179" s="33">
        <f t="shared" si="72"/>
        <v>3685.651176921232</v>
      </c>
      <c r="K179" s="33">
        <f t="shared" si="72"/>
        <v>3672.3910320489549</v>
      </c>
      <c r="L179" s="33">
        <f t="shared" si="72"/>
        <v>3659.1862531260408</v>
      </c>
      <c r="M179" s="33">
        <f t="shared" si="72"/>
        <v>3645.8707423044007</v>
      </c>
      <c r="N179" s="33">
        <f t="shared" si="72"/>
        <v>3632.4998655333998</v>
      </c>
      <c r="O179" s="33">
        <f t="shared" si="72"/>
        <v>3619.0459398383541</v>
      </c>
      <c r="P179" s="33">
        <f t="shared" si="72"/>
        <v>3605.4535992699034</v>
      </c>
      <c r="Q179" s="33">
        <f t="shared" ref="Q179:T179" si="73">Q176/(1-Q177)*100/100</f>
        <v>3592.1934543976258</v>
      </c>
      <c r="R179" s="33">
        <f t="shared" si="73"/>
        <v>3579.0886929779954</v>
      </c>
      <c r="S179" s="33">
        <f t="shared" si="73"/>
        <v>3566.1374942151156</v>
      </c>
      <c r="T179" s="33">
        <f t="shared" si="73"/>
        <v>3553.3380586493254</v>
      </c>
    </row>
    <row r="180" spans="1:20" x14ac:dyDescent="0.25">
      <c r="A180" s="48" t="s">
        <v>180</v>
      </c>
      <c r="B180" s="57">
        <f>'Majapidamiste nõudlus asulates'!D91</f>
        <v>1090</v>
      </c>
      <c r="C180" s="36">
        <f>'Majapidamiste nõudlus asulates'!E91</f>
        <v>1117.5760671228918</v>
      </c>
      <c r="D180" s="36">
        <f>'Majapidamiste nõudlus asulates'!F91</f>
        <v>951</v>
      </c>
      <c r="E180" s="57">
        <f>'Majapidamiste nõudlus asulates'!G91</f>
        <v>1064</v>
      </c>
      <c r="F180" s="36">
        <f>'Majapidamiste nõudlus asulates'!H91</f>
        <v>1052.7425678307152</v>
      </c>
      <c r="G180" s="36">
        <f>'Majapidamiste nõudlus asulates'!I91</f>
        <v>1041.5311783287896</v>
      </c>
      <c r="H180" s="36">
        <f>'Majapidamiste nõudlus asulates'!J91</f>
        <v>1030.1125968237482</v>
      </c>
      <c r="I180" s="36">
        <f>'Majapidamiste nõudlus asulates'!K91</f>
        <v>1018.8551646544636</v>
      </c>
      <c r="J180" s="36">
        <f>'Majapidamiste nõudlus asulates'!L91</f>
        <v>1007.7358604872562</v>
      </c>
      <c r="K180" s="36">
        <f>'Majapidamiste nõudlus asulates'!M91</f>
        <v>996.70864165476667</v>
      </c>
      <c r="L180" s="36">
        <f>'Majapidamiste nõudlus asulates'!N91</f>
        <v>985.72746548963596</v>
      </c>
      <c r="M180" s="36">
        <f>'Majapidamiste nõudlus asulates'!O91</f>
        <v>974.65420398978767</v>
      </c>
      <c r="N180" s="36">
        <f>'Majapidamiste nõudlus asulates'!P91</f>
        <v>963.53489982258009</v>
      </c>
      <c r="O180" s="36">
        <f>'Majapidamiste nõudlus asulates'!Q91</f>
        <v>952.34653165433383</v>
      </c>
      <c r="P180" s="36">
        <f>'Majapidamiste nõudlus asulates'!R91</f>
        <v>941.04305681769029</v>
      </c>
      <c r="Q180" s="36">
        <f>'Majapidamiste nõudlus asulates'!S91</f>
        <v>930.01583798520073</v>
      </c>
      <c r="R180" s="36">
        <f>'Majapidamiste nõudlus asulates'!T91</f>
        <v>919.11783699699424</v>
      </c>
      <c r="S180" s="36">
        <f>'Majapidamiste nõudlus asulates'!U91</f>
        <v>908.34753966789583</v>
      </c>
      <c r="T180" s="36">
        <f>'Majapidamiste nõudlus asulates'!V91</f>
        <v>897.70344955607447</v>
      </c>
    </row>
    <row r="181" spans="1:20" x14ac:dyDescent="0.25">
      <c r="A181" s="48" t="s">
        <v>181</v>
      </c>
      <c r="B181" s="53">
        <v>0</v>
      </c>
      <c r="C181" s="21">
        <v>0</v>
      </c>
      <c r="D181" s="21">
        <v>0</v>
      </c>
      <c r="E181" s="53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</row>
    <row r="182" spans="1:20" x14ac:dyDescent="0.25">
      <c r="A182" s="52" t="s">
        <v>213</v>
      </c>
      <c r="B182" s="57">
        <f>B180+B181</f>
        <v>1090</v>
      </c>
      <c r="C182" s="36">
        <f t="shared" ref="C182:P182" si="74">C180+C181</f>
        <v>1117.5760671228918</v>
      </c>
      <c r="D182" s="36">
        <f t="shared" si="74"/>
        <v>951</v>
      </c>
      <c r="E182" s="57">
        <f t="shared" si="74"/>
        <v>1064</v>
      </c>
      <c r="F182" s="36">
        <f t="shared" si="74"/>
        <v>1052.7425678307152</v>
      </c>
      <c r="G182" s="36">
        <f t="shared" si="74"/>
        <v>1041.5311783287896</v>
      </c>
      <c r="H182" s="36">
        <f t="shared" si="74"/>
        <v>1030.1125968237482</v>
      </c>
      <c r="I182" s="36">
        <f t="shared" si="74"/>
        <v>1018.8551646544636</v>
      </c>
      <c r="J182" s="36">
        <f t="shared" si="74"/>
        <v>1007.7358604872562</v>
      </c>
      <c r="K182" s="36">
        <f t="shared" si="74"/>
        <v>996.70864165476667</v>
      </c>
      <c r="L182" s="36">
        <f t="shared" si="74"/>
        <v>985.72746548963596</v>
      </c>
      <c r="M182" s="36">
        <f t="shared" si="74"/>
        <v>974.65420398978767</v>
      </c>
      <c r="N182" s="36">
        <f t="shared" si="74"/>
        <v>963.53489982258009</v>
      </c>
      <c r="O182" s="36">
        <f t="shared" si="74"/>
        <v>952.34653165433383</v>
      </c>
      <c r="P182" s="36">
        <f t="shared" si="74"/>
        <v>941.04305681769029</v>
      </c>
      <c r="Q182" s="36">
        <f t="shared" ref="Q182:T182" si="75">Q180+Q181</f>
        <v>930.01583798520073</v>
      </c>
      <c r="R182" s="36">
        <f t="shared" si="75"/>
        <v>919.11783699699424</v>
      </c>
      <c r="S182" s="36">
        <f t="shared" si="75"/>
        <v>908.34753966789583</v>
      </c>
      <c r="T182" s="36">
        <f t="shared" si="75"/>
        <v>897.70344955607447</v>
      </c>
    </row>
    <row r="183" spans="1:20" x14ac:dyDescent="0.25">
      <c r="A183" s="21" t="s">
        <v>206</v>
      </c>
      <c r="B183" s="61">
        <f>B44</f>
        <v>7.6271186440677971E-2</v>
      </c>
      <c r="C183" s="37">
        <f>C44</f>
        <v>0.14912280701754385</v>
      </c>
      <c r="D183" s="37">
        <f>$D$44</f>
        <v>0.22808441558441558</v>
      </c>
      <c r="E183" s="61">
        <f>$E$44</f>
        <v>0.24108416547788872</v>
      </c>
      <c r="F183" s="37">
        <f>($D$183+$E$183)/2</f>
        <v>0.23458429053115215</v>
      </c>
      <c r="G183" s="37">
        <f t="shared" ref="G183:T183" si="76">($D$183+$E$183)/2</f>
        <v>0.23458429053115215</v>
      </c>
      <c r="H183" s="37">
        <f t="shared" si="76"/>
        <v>0.23458429053115215</v>
      </c>
      <c r="I183" s="37">
        <f t="shared" si="76"/>
        <v>0.23458429053115215</v>
      </c>
      <c r="J183" s="37">
        <f t="shared" si="76"/>
        <v>0.23458429053115215</v>
      </c>
      <c r="K183" s="37">
        <f t="shared" si="76"/>
        <v>0.23458429053115215</v>
      </c>
      <c r="L183" s="37">
        <f t="shared" si="76"/>
        <v>0.23458429053115215</v>
      </c>
      <c r="M183" s="37">
        <f t="shared" si="76"/>
        <v>0.23458429053115215</v>
      </c>
      <c r="N183" s="37">
        <f t="shared" si="76"/>
        <v>0.23458429053115215</v>
      </c>
      <c r="O183" s="37">
        <f t="shared" si="76"/>
        <v>0.23458429053115215</v>
      </c>
      <c r="P183" s="37">
        <f t="shared" si="76"/>
        <v>0.23458429053115215</v>
      </c>
      <c r="Q183" s="37">
        <f t="shared" si="76"/>
        <v>0.23458429053115215</v>
      </c>
      <c r="R183" s="37">
        <f t="shared" si="76"/>
        <v>0.23458429053115215</v>
      </c>
      <c r="S183" s="37">
        <f t="shared" si="76"/>
        <v>0.23458429053115215</v>
      </c>
      <c r="T183" s="37">
        <f t="shared" si="76"/>
        <v>0.23458429053115215</v>
      </c>
    </row>
    <row r="184" spans="1:20" x14ac:dyDescent="0.25">
      <c r="A184" s="47" t="s">
        <v>205</v>
      </c>
      <c r="B184" s="45">
        <f>B185-B182</f>
        <v>90</v>
      </c>
      <c r="C184" s="25">
        <f t="shared" ref="C184:P184" si="77">C185-C182</f>
        <v>195.86384681535219</v>
      </c>
      <c r="D184" s="25">
        <f t="shared" si="77"/>
        <v>281</v>
      </c>
      <c r="E184" s="45">
        <f t="shared" si="77"/>
        <v>338</v>
      </c>
      <c r="F184" s="25">
        <f t="shared" si="77"/>
        <v>322.64410741959387</v>
      </c>
      <c r="G184" s="25">
        <f t="shared" si="77"/>
        <v>319.20804539520373</v>
      </c>
      <c r="H184" s="25">
        <f t="shared" si="77"/>
        <v>315.70848325126622</v>
      </c>
      <c r="I184" s="25">
        <f t="shared" si="77"/>
        <v>312.25831008919863</v>
      </c>
      <c r="J184" s="25">
        <f t="shared" si="77"/>
        <v>308.85047034016281</v>
      </c>
      <c r="K184" s="25">
        <f t="shared" si="77"/>
        <v>305.47085286648132</v>
      </c>
      <c r="L184" s="25">
        <f t="shared" si="77"/>
        <v>302.10534653047671</v>
      </c>
      <c r="M184" s="25">
        <f t="shared" si="77"/>
        <v>298.711617919118</v>
      </c>
      <c r="N184" s="25">
        <f t="shared" si="77"/>
        <v>295.30377817008218</v>
      </c>
      <c r="O184" s="25">
        <f t="shared" si="77"/>
        <v>291.87477171453043</v>
      </c>
      <c r="P184" s="25">
        <f t="shared" si="77"/>
        <v>288.41048741478585</v>
      </c>
      <c r="Q184" s="25">
        <f t="shared" ref="Q184:T184" si="78">Q185-Q182</f>
        <v>285.03086994110436</v>
      </c>
      <c r="R184" s="25">
        <f t="shared" si="78"/>
        <v>281.6908550989732</v>
      </c>
      <c r="S184" s="25">
        <f t="shared" si="78"/>
        <v>278.3899788215457</v>
      </c>
      <c r="T184" s="25">
        <f t="shared" si="78"/>
        <v>275.1277824799472</v>
      </c>
    </row>
    <row r="185" spans="1:20" x14ac:dyDescent="0.25">
      <c r="A185" s="93" t="s">
        <v>275</v>
      </c>
      <c r="B185" s="59">
        <f>B182/(1-B183)*100/100</f>
        <v>1180</v>
      </c>
      <c r="C185" s="33">
        <f t="shared" ref="C185:P185" si="79">C182/(1-C183)*100/100</f>
        <v>1313.439913938244</v>
      </c>
      <c r="D185" s="33">
        <f t="shared" si="79"/>
        <v>1232</v>
      </c>
      <c r="E185" s="59">
        <f t="shared" si="79"/>
        <v>1402</v>
      </c>
      <c r="F185" s="33">
        <f t="shared" si="79"/>
        <v>1375.3866752503091</v>
      </c>
      <c r="G185" s="33">
        <f t="shared" si="79"/>
        <v>1360.7392237239933</v>
      </c>
      <c r="H185" s="33">
        <f t="shared" si="79"/>
        <v>1345.8210800750144</v>
      </c>
      <c r="I185" s="33">
        <f t="shared" si="79"/>
        <v>1331.1134747436622</v>
      </c>
      <c r="J185" s="33">
        <f t="shared" si="79"/>
        <v>1316.586330827419</v>
      </c>
      <c r="K185" s="33">
        <f t="shared" si="79"/>
        <v>1302.179494521248</v>
      </c>
      <c r="L185" s="33">
        <f t="shared" si="79"/>
        <v>1287.8328120201127</v>
      </c>
      <c r="M185" s="33">
        <f t="shared" si="79"/>
        <v>1273.3658219089057</v>
      </c>
      <c r="N185" s="33">
        <f t="shared" si="79"/>
        <v>1258.8386779926623</v>
      </c>
      <c r="O185" s="33">
        <f t="shared" si="79"/>
        <v>1244.2213033688643</v>
      </c>
      <c r="P185" s="33">
        <f t="shared" si="79"/>
        <v>1229.4535442324761</v>
      </c>
      <c r="Q185" s="33">
        <f t="shared" ref="Q185:T185" si="80">Q182/(1-Q183)*100/100</f>
        <v>1215.0467079263051</v>
      </c>
      <c r="R185" s="33">
        <f t="shared" si="80"/>
        <v>1200.8086920959674</v>
      </c>
      <c r="S185" s="33">
        <f t="shared" si="80"/>
        <v>1186.7375184894415</v>
      </c>
      <c r="T185" s="33">
        <f t="shared" si="80"/>
        <v>1172.8312320360217</v>
      </c>
    </row>
    <row r="186" spans="1:20" x14ac:dyDescent="0.25">
      <c r="A186" s="48" t="s">
        <v>182</v>
      </c>
      <c r="B186" s="57">
        <f>'Majapidamiste nõudlus asulates'!D92</f>
        <v>9060</v>
      </c>
      <c r="C186" s="36">
        <f>'Majapidamiste nõudlus asulates'!E92</f>
        <v>8934.9488992451461</v>
      </c>
      <c r="D186" s="36">
        <f>'Majapidamiste nõudlus asulates'!F92</f>
        <v>8588</v>
      </c>
      <c r="E186" s="57">
        <f>'Majapidamiste nõudlus asulates'!G92</f>
        <v>8090</v>
      </c>
      <c r="F186" s="36">
        <f>'Majapidamiste nõudlus asulates'!H92</f>
        <v>8004.4054264572251</v>
      </c>
      <c r="G186" s="36">
        <f>'Majapidamiste nõudlus asulates'!I92</f>
        <v>7919.1609329698395</v>
      </c>
      <c r="H186" s="36">
        <f>'Majapidamiste nõudlus asulates'!J92</f>
        <v>7832.3410792331997</v>
      </c>
      <c r="I186" s="36">
        <f>'Majapidamiste nõudlus asulates'!K92</f>
        <v>7746.7465056904221</v>
      </c>
      <c r="J186" s="36">
        <f>'Majapidamiste nõudlus asulates'!L92</f>
        <v>7662.2021723138168</v>
      </c>
      <c r="K186" s="36">
        <f>'Majapidamiste nõudlus asulates'!M92</f>
        <v>7578.3579990479902</v>
      </c>
      <c r="L186" s="36">
        <f>'Majapidamiste nõudlus asulates'!N92</f>
        <v>7494.8639058375529</v>
      </c>
      <c r="M186" s="36">
        <f>'Majapidamiste nõudlus asulates'!O92</f>
        <v>7410.6696525163343</v>
      </c>
      <c r="N186" s="36">
        <f>'Majapidamiste nõudlus asulates'!P92</f>
        <v>7326.1253191397291</v>
      </c>
      <c r="O186" s="36">
        <f>'Majapidamiste nõudlus asulates'!Q92</f>
        <v>7241.0558656800367</v>
      </c>
      <c r="P186" s="36">
        <f>'Majapidamiste nõudlus asulates'!R92</f>
        <v>7155.1112120818734</v>
      </c>
      <c r="Q186" s="36">
        <f>'Majapidamiste nõudlus asulates'!S92</f>
        <v>7071.2670388160468</v>
      </c>
      <c r="R186" s="36">
        <f>'Majapidamiste nõudlus asulates'!T92</f>
        <v>6988.4053583700024</v>
      </c>
      <c r="S186" s="36">
        <f>'Majapidamiste nõudlus asulates'!U92</f>
        <v>6906.514657813229</v>
      </c>
      <c r="T186" s="36">
        <f>'Majapidamiste nõudlus asulates'!V92</f>
        <v>6825.5835591246641</v>
      </c>
    </row>
    <row r="187" spans="1:20" x14ac:dyDescent="0.25">
      <c r="A187" s="48" t="s">
        <v>183</v>
      </c>
      <c r="B187" s="53">
        <v>9790</v>
      </c>
      <c r="C187" s="21">
        <v>11370</v>
      </c>
      <c r="D187" s="21">
        <v>12296</v>
      </c>
      <c r="E187" s="53">
        <v>14687</v>
      </c>
      <c r="F187" s="21">
        <f t="shared" ref="F187:Q187" si="81">E187</f>
        <v>14687</v>
      </c>
      <c r="G187" s="21">
        <f t="shared" si="81"/>
        <v>14687</v>
      </c>
      <c r="H187" s="21">
        <f t="shared" si="81"/>
        <v>14687</v>
      </c>
      <c r="I187" s="21">
        <f t="shared" si="81"/>
        <v>14687</v>
      </c>
      <c r="J187" s="21">
        <f t="shared" si="81"/>
        <v>14687</v>
      </c>
      <c r="K187" s="21">
        <f t="shared" si="81"/>
        <v>14687</v>
      </c>
      <c r="L187" s="21">
        <f t="shared" si="81"/>
        <v>14687</v>
      </c>
      <c r="M187" s="21">
        <f t="shared" si="81"/>
        <v>14687</v>
      </c>
      <c r="N187" s="21">
        <f t="shared" si="81"/>
        <v>14687</v>
      </c>
      <c r="O187" s="21">
        <f t="shared" si="81"/>
        <v>14687</v>
      </c>
      <c r="P187" s="21">
        <f t="shared" si="81"/>
        <v>14687</v>
      </c>
      <c r="Q187" s="21">
        <f t="shared" si="81"/>
        <v>14687</v>
      </c>
      <c r="R187" s="21">
        <f t="shared" ref="R187" si="82">Q187</f>
        <v>14687</v>
      </c>
      <c r="S187" s="21">
        <f t="shared" ref="S187" si="83">R187</f>
        <v>14687</v>
      </c>
      <c r="T187" s="21">
        <f t="shared" ref="T187" si="84">S187</f>
        <v>14687</v>
      </c>
    </row>
    <row r="188" spans="1:20" x14ac:dyDescent="0.25">
      <c r="A188" s="52" t="s">
        <v>214</v>
      </c>
      <c r="B188" s="57">
        <f>B186+B187</f>
        <v>18850</v>
      </c>
      <c r="C188" s="36">
        <f t="shared" ref="C188:P188" si="85">C186+C187</f>
        <v>20304.948899245144</v>
      </c>
      <c r="D188" s="36">
        <f t="shared" si="85"/>
        <v>20884</v>
      </c>
      <c r="E188" s="57">
        <f t="shared" si="85"/>
        <v>22777</v>
      </c>
      <c r="F188" s="36">
        <f t="shared" si="85"/>
        <v>22691.405426457226</v>
      </c>
      <c r="G188" s="36">
        <f t="shared" si="85"/>
        <v>22606.16093296984</v>
      </c>
      <c r="H188" s="36">
        <f t="shared" si="85"/>
        <v>22519.3410792332</v>
      </c>
      <c r="I188" s="36">
        <f t="shared" si="85"/>
        <v>22433.746505690422</v>
      </c>
      <c r="J188" s="36">
        <f t="shared" si="85"/>
        <v>22349.202172313817</v>
      </c>
      <c r="K188" s="36">
        <f t="shared" si="85"/>
        <v>22265.357999047992</v>
      </c>
      <c r="L188" s="36">
        <f t="shared" si="85"/>
        <v>22181.863905837552</v>
      </c>
      <c r="M188" s="36">
        <f t="shared" si="85"/>
        <v>22097.669652516335</v>
      </c>
      <c r="N188" s="36">
        <f t="shared" si="85"/>
        <v>22013.12531913973</v>
      </c>
      <c r="O188" s="36">
        <f t="shared" si="85"/>
        <v>21928.055865680035</v>
      </c>
      <c r="P188" s="36">
        <f t="shared" si="85"/>
        <v>21842.111212081873</v>
      </c>
      <c r="Q188" s="36">
        <f t="shared" ref="Q188:T188" si="86">Q186+Q187</f>
        <v>21758.267038816048</v>
      </c>
      <c r="R188" s="36">
        <f t="shared" si="86"/>
        <v>21675.405358370001</v>
      </c>
      <c r="S188" s="36">
        <f t="shared" si="86"/>
        <v>21593.51465781323</v>
      </c>
      <c r="T188" s="36">
        <f t="shared" si="86"/>
        <v>21512.583559124665</v>
      </c>
    </row>
    <row r="189" spans="1:20" x14ac:dyDescent="0.25">
      <c r="A189" s="21" t="s">
        <v>206</v>
      </c>
      <c r="B189" s="61">
        <f>B14</f>
        <v>3.0848329048843187E-2</v>
      </c>
      <c r="C189" s="37">
        <f>C14</f>
        <v>2.2461394478240523E-2</v>
      </c>
      <c r="D189" s="37">
        <f>$D$14</f>
        <v>6.6761998391277153E-2</v>
      </c>
      <c r="E189" s="61">
        <f>$E$14</f>
        <v>7.006083370758992E-2</v>
      </c>
      <c r="F189" s="37">
        <f>($D$189+$E$189)/2</f>
        <v>6.8411416049433543E-2</v>
      </c>
      <c r="G189" s="37">
        <f t="shared" ref="G189:T189" si="87">($D$189+$E$189)/2</f>
        <v>6.8411416049433543E-2</v>
      </c>
      <c r="H189" s="37">
        <f t="shared" si="87"/>
        <v>6.8411416049433543E-2</v>
      </c>
      <c r="I189" s="37">
        <f t="shared" si="87"/>
        <v>6.8411416049433543E-2</v>
      </c>
      <c r="J189" s="37">
        <f t="shared" si="87"/>
        <v>6.8411416049433543E-2</v>
      </c>
      <c r="K189" s="37">
        <f t="shared" si="87"/>
        <v>6.8411416049433543E-2</v>
      </c>
      <c r="L189" s="37">
        <f t="shared" si="87"/>
        <v>6.8411416049433543E-2</v>
      </c>
      <c r="M189" s="37">
        <f t="shared" si="87"/>
        <v>6.8411416049433543E-2</v>
      </c>
      <c r="N189" s="37">
        <f t="shared" si="87"/>
        <v>6.8411416049433543E-2</v>
      </c>
      <c r="O189" s="37">
        <f t="shared" si="87"/>
        <v>6.8411416049433543E-2</v>
      </c>
      <c r="P189" s="37">
        <f t="shared" si="87"/>
        <v>6.8411416049433543E-2</v>
      </c>
      <c r="Q189" s="37">
        <f t="shared" si="87"/>
        <v>6.8411416049433543E-2</v>
      </c>
      <c r="R189" s="37">
        <f t="shared" si="87"/>
        <v>6.8411416049433543E-2</v>
      </c>
      <c r="S189" s="37">
        <f t="shared" si="87"/>
        <v>6.8411416049433543E-2</v>
      </c>
      <c r="T189" s="37">
        <f t="shared" si="87"/>
        <v>6.8411416049433543E-2</v>
      </c>
    </row>
    <row r="190" spans="1:20" x14ac:dyDescent="0.25">
      <c r="A190" s="47" t="s">
        <v>205</v>
      </c>
      <c r="B190" s="45">
        <f>B191-B188</f>
        <v>600</v>
      </c>
      <c r="C190" s="25">
        <f t="shared" ref="C190:P190" si="88">C191-C188</f>
        <v>466.55698763224791</v>
      </c>
      <c r="D190" s="25">
        <f t="shared" si="88"/>
        <v>1494</v>
      </c>
      <c r="E190" s="45">
        <f t="shared" si="88"/>
        <v>1716</v>
      </c>
      <c r="F190" s="25">
        <f t="shared" si="88"/>
        <v>1666.3484333317174</v>
      </c>
      <c r="G190" s="25">
        <f t="shared" si="88"/>
        <v>1660.0884848841342</v>
      </c>
      <c r="H190" s="25">
        <f t="shared" si="88"/>
        <v>1653.7128495042562</v>
      </c>
      <c r="I190" s="25">
        <f t="shared" si="88"/>
        <v>1647.4271928494927</v>
      </c>
      <c r="J190" s="25">
        <f t="shared" si="88"/>
        <v>1641.2186608162629</v>
      </c>
      <c r="K190" s="25">
        <f t="shared" si="88"/>
        <v>1635.061545197379</v>
      </c>
      <c r="L190" s="25">
        <f t="shared" si="88"/>
        <v>1628.9301377856864</v>
      </c>
      <c r="M190" s="25">
        <f t="shared" si="88"/>
        <v>1622.7473139596295</v>
      </c>
      <c r="N190" s="25">
        <f t="shared" si="88"/>
        <v>1616.5387819263997</v>
      </c>
      <c r="O190" s="25">
        <f t="shared" si="88"/>
        <v>1610.2916875824048</v>
      </c>
      <c r="P190" s="25">
        <f t="shared" si="88"/>
        <v>1603.9803227204648</v>
      </c>
      <c r="Q190" s="25">
        <f t="shared" ref="Q190:T190" si="89">Q191-Q188</f>
        <v>1597.8232071015882</v>
      </c>
      <c r="R190" s="25">
        <f t="shared" si="89"/>
        <v>1591.7382410627069</v>
      </c>
      <c r="S190" s="25">
        <f t="shared" si="89"/>
        <v>1585.7245791491914</v>
      </c>
      <c r="T190" s="25">
        <f t="shared" si="89"/>
        <v>1579.7813858135232</v>
      </c>
    </row>
    <row r="191" spans="1:20" x14ac:dyDescent="0.25">
      <c r="A191" s="93" t="s">
        <v>276</v>
      </c>
      <c r="B191" s="59">
        <f>B188/(1-B189)*100/100</f>
        <v>19450</v>
      </c>
      <c r="C191" s="33">
        <f t="shared" ref="C191:P191" si="90">C188/(1-C189)*100/100</f>
        <v>20771.505886877392</v>
      </c>
      <c r="D191" s="33">
        <f t="shared" si="90"/>
        <v>22378</v>
      </c>
      <c r="E191" s="59">
        <f t="shared" si="90"/>
        <v>24493</v>
      </c>
      <c r="F191" s="33">
        <f t="shared" si="90"/>
        <v>24357.753859788943</v>
      </c>
      <c r="G191" s="33">
        <f t="shared" si="90"/>
        <v>24266.249417853975</v>
      </c>
      <c r="H191" s="33">
        <f t="shared" si="90"/>
        <v>24173.053928737456</v>
      </c>
      <c r="I191" s="33">
        <f t="shared" si="90"/>
        <v>24081.173698539915</v>
      </c>
      <c r="J191" s="33">
        <f t="shared" si="90"/>
        <v>23990.42083313008</v>
      </c>
      <c r="K191" s="33">
        <f t="shared" si="90"/>
        <v>23900.419544245371</v>
      </c>
      <c r="L191" s="33">
        <f t="shared" si="90"/>
        <v>23810.794043623238</v>
      </c>
      <c r="M191" s="33">
        <f t="shared" si="90"/>
        <v>23720.416966475965</v>
      </c>
      <c r="N191" s="33">
        <f t="shared" si="90"/>
        <v>23629.66410106613</v>
      </c>
      <c r="O191" s="33">
        <f t="shared" si="90"/>
        <v>23538.34755326244</v>
      </c>
      <c r="P191" s="33">
        <f t="shared" si="90"/>
        <v>23446.091534802337</v>
      </c>
      <c r="Q191" s="33">
        <f t="shared" ref="Q191:T191" si="91">Q188/(1-Q189)*100/100</f>
        <v>23356.090245917636</v>
      </c>
      <c r="R191" s="33">
        <f t="shared" si="91"/>
        <v>23267.143599432708</v>
      </c>
      <c r="S191" s="33">
        <f t="shared" si="91"/>
        <v>23179.239236962421</v>
      </c>
      <c r="T191" s="33">
        <f t="shared" si="91"/>
        <v>23092.364944938188</v>
      </c>
    </row>
    <row r="192" spans="1:20" x14ac:dyDescent="0.25">
      <c r="A192" s="48" t="s">
        <v>184</v>
      </c>
      <c r="B192" s="57">
        <f>'Majapidamiste nõudlus asulates'!D93</f>
        <v>1900</v>
      </c>
      <c r="C192" s="36">
        <f>'Majapidamiste nõudlus asulates'!E93</f>
        <v>1924.565381346998</v>
      </c>
      <c r="D192" s="36">
        <f>'Majapidamiste nõudlus asulates'!F93</f>
        <v>1683</v>
      </c>
      <c r="E192" s="57">
        <f>'Majapidamiste nõudlus asulates'!G93</f>
        <v>1718</v>
      </c>
      <c r="F192" s="36">
        <f>'Majapidamiste nõudlus asulates'!H93</f>
        <v>1699.8230559522262</v>
      </c>
      <c r="G192" s="36">
        <f>'Majapidamiste nõudlus asulates'!I93</f>
        <v>1681.7204552338917</v>
      </c>
      <c r="H192" s="36">
        <f>'Majapidamiste nõudlus asulates'!J93</f>
        <v>1663.2833095330825</v>
      </c>
      <c r="I192" s="36">
        <f>'Majapidamiste nõudlus asulates'!K93</f>
        <v>1645.1063654853085</v>
      </c>
      <c r="J192" s="36">
        <f>'Majapidamiste nõudlus asulates'!L93</f>
        <v>1627.152451425851</v>
      </c>
      <c r="K192" s="36">
        <f>'Majapidamiste nõudlus asulates'!M93</f>
        <v>1609.3472240252715</v>
      </c>
      <c r="L192" s="36">
        <f>'Majapidamiste nõudlus asulates'!N93</f>
        <v>1591.6163399541304</v>
      </c>
      <c r="M192" s="36">
        <f>'Majapidamiste nõudlus asulates'!O93</f>
        <v>1573.7367692241116</v>
      </c>
      <c r="N192" s="36">
        <f>'Majapidamiste nõudlus asulates'!P93</f>
        <v>1555.7828551646546</v>
      </c>
      <c r="O192" s="36">
        <f>'Majapidamiste nõudlus asulates'!Q93</f>
        <v>1537.7174261110392</v>
      </c>
      <c r="P192" s="36">
        <f>'Majapidamiste nõudlus asulates'!R93</f>
        <v>1519.4661387338269</v>
      </c>
      <c r="Q192" s="36">
        <f>'Majapidamiste nõudlus asulates'!S93</f>
        <v>1501.660911333247</v>
      </c>
      <c r="R192" s="36">
        <f>'Majapidamiste nõudlus asulates'!T93</f>
        <v>1484.0643270308613</v>
      </c>
      <c r="S192" s="36">
        <f>'Majapidamiste nõudlus asulates'!U93</f>
        <v>1466.6739409299296</v>
      </c>
      <c r="T192" s="36">
        <f>'Majapidamiste nõudlus asulates'!V93</f>
        <v>1449.4873367832108</v>
      </c>
    </row>
    <row r="193" spans="1:20" x14ac:dyDescent="0.25">
      <c r="A193" s="48" t="s">
        <v>185</v>
      </c>
      <c r="B193" s="53">
        <v>0</v>
      </c>
      <c r="C193" s="21">
        <v>0</v>
      </c>
      <c r="D193" s="21">
        <v>184</v>
      </c>
      <c r="E193" s="53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  <c r="Q193" s="21">
        <v>0</v>
      </c>
      <c r="R193" s="21">
        <v>0</v>
      </c>
      <c r="S193" s="21">
        <v>0</v>
      </c>
      <c r="T193" s="21">
        <v>0</v>
      </c>
    </row>
    <row r="194" spans="1:20" x14ac:dyDescent="0.25">
      <c r="A194" s="52" t="s">
        <v>215</v>
      </c>
      <c r="B194" s="57">
        <f>B192+B193</f>
        <v>1900</v>
      </c>
      <c r="C194" s="36">
        <f t="shared" ref="C194:P194" si="92">C192+C193</f>
        <v>1924.565381346998</v>
      </c>
      <c r="D194" s="36">
        <f t="shared" si="92"/>
        <v>1867</v>
      </c>
      <c r="E194" s="57">
        <f t="shared" si="92"/>
        <v>1718</v>
      </c>
      <c r="F194" s="36">
        <f t="shared" si="92"/>
        <v>1699.8230559522262</v>
      </c>
      <c r="G194" s="36">
        <f t="shared" si="92"/>
        <v>1681.7204552338917</v>
      </c>
      <c r="H194" s="36">
        <f t="shared" si="92"/>
        <v>1663.2833095330825</v>
      </c>
      <c r="I194" s="36">
        <f t="shared" si="92"/>
        <v>1645.1063654853085</v>
      </c>
      <c r="J194" s="36">
        <f t="shared" si="92"/>
        <v>1627.152451425851</v>
      </c>
      <c r="K194" s="36">
        <f t="shared" si="92"/>
        <v>1609.3472240252715</v>
      </c>
      <c r="L194" s="36">
        <f t="shared" si="92"/>
        <v>1591.6163399541304</v>
      </c>
      <c r="M194" s="36">
        <f t="shared" si="92"/>
        <v>1573.7367692241116</v>
      </c>
      <c r="N194" s="36">
        <f t="shared" si="92"/>
        <v>1555.7828551646546</v>
      </c>
      <c r="O194" s="36">
        <f t="shared" si="92"/>
        <v>1537.7174261110392</v>
      </c>
      <c r="P194" s="36">
        <f t="shared" si="92"/>
        <v>1519.4661387338269</v>
      </c>
      <c r="Q194" s="36">
        <f t="shared" ref="Q194:T194" si="93">Q192+Q193</f>
        <v>1501.660911333247</v>
      </c>
      <c r="R194" s="36">
        <f t="shared" si="93"/>
        <v>1484.0643270308613</v>
      </c>
      <c r="S194" s="36">
        <f t="shared" si="93"/>
        <v>1466.6739409299296</v>
      </c>
      <c r="T194" s="36">
        <f t="shared" si="93"/>
        <v>1449.4873367832108</v>
      </c>
    </row>
    <row r="195" spans="1:20" x14ac:dyDescent="0.25">
      <c r="A195" s="53" t="s">
        <v>206</v>
      </c>
      <c r="B195" s="58">
        <f>B32</f>
        <v>0.18803418803418803</v>
      </c>
      <c r="C195" s="38">
        <f>C32</f>
        <v>0.20091324200913241</v>
      </c>
      <c r="D195" s="38">
        <f>$D$32</f>
        <v>0.51893841793352224</v>
      </c>
      <c r="E195" s="58">
        <f>$E$32</f>
        <v>0.3813467770975873</v>
      </c>
      <c r="F195" s="38">
        <f>(D195+E195)/2</f>
        <v>0.45014259751555474</v>
      </c>
      <c r="G195" s="38">
        <f>F195</f>
        <v>0.45014259751555474</v>
      </c>
      <c r="H195" s="38">
        <f t="shared" ref="H195:Q195" si="94">G195</f>
        <v>0.45014259751555474</v>
      </c>
      <c r="I195" s="38">
        <f t="shared" si="94"/>
        <v>0.45014259751555474</v>
      </c>
      <c r="J195" s="38">
        <f t="shared" si="94"/>
        <v>0.45014259751555474</v>
      </c>
      <c r="K195" s="38">
        <f t="shared" si="94"/>
        <v>0.45014259751555474</v>
      </c>
      <c r="L195" s="38">
        <f t="shared" si="94"/>
        <v>0.45014259751555474</v>
      </c>
      <c r="M195" s="38">
        <f t="shared" si="94"/>
        <v>0.45014259751555474</v>
      </c>
      <c r="N195" s="38">
        <f t="shared" si="94"/>
        <v>0.45014259751555474</v>
      </c>
      <c r="O195" s="38">
        <f t="shared" si="94"/>
        <v>0.45014259751555474</v>
      </c>
      <c r="P195" s="38">
        <f t="shared" si="94"/>
        <v>0.45014259751555474</v>
      </c>
      <c r="Q195" s="38">
        <f t="shared" si="94"/>
        <v>0.45014259751555474</v>
      </c>
      <c r="R195" s="38">
        <f t="shared" ref="R195" si="95">Q195</f>
        <v>0.45014259751555474</v>
      </c>
      <c r="S195" s="38">
        <f t="shared" ref="S195" si="96">R195</f>
        <v>0.45014259751555474</v>
      </c>
      <c r="T195" s="38">
        <f t="shared" ref="T195" si="97">S195</f>
        <v>0.45014259751555474</v>
      </c>
    </row>
    <row r="196" spans="1:20" x14ac:dyDescent="0.25">
      <c r="A196" s="47" t="s">
        <v>205</v>
      </c>
      <c r="B196" s="45">
        <f>B197-B194</f>
        <v>440</v>
      </c>
      <c r="C196" s="25">
        <f t="shared" ref="C196:P196" si="98">C197-C194</f>
        <v>483.8907244529596</v>
      </c>
      <c r="D196" s="25">
        <f t="shared" si="98"/>
        <v>2013.9999999999995</v>
      </c>
      <c r="E196" s="45">
        <f t="shared" si="98"/>
        <v>1059</v>
      </c>
      <c r="F196" s="25">
        <f t="shared" si="98"/>
        <v>1391.5658173662737</v>
      </c>
      <c r="G196" s="25">
        <f t="shared" si="98"/>
        <v>1376.7460628766203</v>
      </c>
      <c r="H196" s="25">
        <f t="shared" si="98"/>
        <v>1361.6524320206281</v>
      </c>
      <c r="I196" s="25">
        <f t="shared" si="98"/>
        <v>1346.7718161162327</v>
      </c>
      <c r="J196" s="25">
        <f t="shared" si="98"/>
        <v>1332.073784456062</v>
      </c>
      <c r="K196" s="25">
        <f t="shared" si="98"/>
        <v>1317.4974756253762</v>
      </c>
      <c r="L196" s="25">
        <f t="shared" si="98"/>
        <v>1302.9820282094327</v>
      </c>
      <c r="M196" s="25">
        <f t="shared" si="98"/>
        <v>1288.3448579640037</v>
      </c>
      <c r="N196" s="25">
        <f t="shared" si="98"/>
        <v>1273.6468263038344</v>
      </c>
      <c r="O196" s="25">
        <f t="shared" si="98"/>
        <v>1258.8575025215516</v>
      </c>
      <c r="P196" s="25">
        <f t="shared" si="98"/>
        <v>1243.9160252024139</v>
      </c>
      <c r="Q196" s="25">
        <f t="shared" ref="Q196:T196" si="99">Q197-Q194</f>
        <v>1229.3397163717277</v>
      </c>
      <c r="R196" s="25">
        <f t="shared" si="99"/>
        <v>1214.9342139096573</v>
      </c>
      <c r="S196" s="25">
        <f t="shared" si="99"/>
        <v>1200.6975162933275</v>
      </c>
      <c r="T196" s="25">
        <f t="shared" si="99"/>
        <v>1186.6276454538699</v>
      </c>
    </row>
    <row r="197" spans="1:20" x14ac:dyDescent="0.25">
      <c r="A197" s="93" t="s">
        <v>277</v>
      </c>
      <c r="B197" s="59">
        <f>B194/(1-B195)*100/100</f>
        <v>2340</v>
      </c>
      <c r="C197" s="33">
        <f t="shared" ref="C197:P197" si="100">C194/(1-C195)*100/100</f>
        <v>2408.4561057999576</v>
      </c>
      <c r="D197" s="33">
        <f t="shared" si="100"/>
        <v>3880.9999999999995</v>
      </c>
      <c r="E197" s="59">
        <f t="shared" si="100"/>
        <v>2777</v>
      </c>
      <c r="F197" s="33">
        <f t="shared" si="100"/>
        <v>3091.3888733184999</v>
      </c>
      <c r="G197" s="33">
        <f t="shared" si="100"/>
        <v>3058.466518110512</v>
      </c>
      <c r="H197" s="33">
        <f t="shared" si="100"/>
        <v>3024.9357415537106</v>
      </c>
      <c r="I197" s="33">
        <f t="shared" si="100"/>
        <v>2991.8781816015412</v>
      </c>
      <c r="J197" s="33">
        <f t="shared" si="100"/>
        <v>2959.226235881913</v>
      </c>
      <c r="K197" s="33">
        <f t="shared" si="100"/>
        <v>2926.8446996506477</v>
      </c>
      <c r="L197" s="33">
        <f t="shared" si="100"/>
        <v>2894.598368163563</v>
      </c>
      <c r="M197" s="33">
        <f t="shared" si="100"/>
        <v>2862.0816271881154</v>
      </c>
      <c r="N197" s="33">
        <f t="shared" si="100"/>
        <v>2829.429681468489</v>
      </c>
      <c r="O197" s="33">
        <f t="shared" si="100"/>
        <v>2796.5749286325909</v>
      </c>
      <c r="P197" s="33">
        <f t="shared" si="100"/>
        <v>2763.3821639362409</v>
      </c>
      <c r="Q197" s="33">
        <f t="shared" ref="Q197:T197" si="101">Q194/(1-Q195)*100/100</f>
        <v>2731.0006277049747</v>
      </c>
      <c r="R197" s="33">
        <f t="shared" si="101"/>
        <v>2698.9985409405185</v>
      </c>
      <c r="S197" s="33">
        <f t="shared" si="101"/>
        <v>2667.371457223257</v>
      </c>
      <c r="T197" s="33">
        <f t="shared" si="101"/>
        <v>2636.1149822370808</v>
      </c>
    </row>
    <row r="198" spans="1:20" x14ac:dyDescent="0.25">
      <c r="A198" s="48" t="s">
        <v>186</v>
      </c>
      <c r="B198" s="57">
        <f>'Majapidamiste nõudlus asulates'!D94</f>
        <v>2230</v>
      </c>
      <c r="C198" s="36">
        <f>'Majapidamiste nõudlus asulates'!E94</f>
        <v>2017.3371486822914</v>
      </c>
      <c r="D198" s="36">
        <f>'Majapidamiste nõudlus asulates'!F94</f>
        <v>2000</v>
      </c>
      <c r="E198" s="57">
        <f>'Majapidamiste nõudlus asulates'!G94</f>
        <v>2192</v>
      </c>
      <c r="F198" s="36">
        <f>'Majapidamiste nõudlus asulates'!H94</f>
        <v>2168.8079968843313</v>
      </c>
      <c r="G198" s="36">
        <f>'Majapidamiste nõudlus asulates'!I94</f>
        <v>2145.7108485871304</v>
      </c>
      <c r="H198" s="36">
        <f>'Majapidamiste nõudlus asulates'!J94</f>
        <v>2122.18685360682</v>
      </c>
      <c r="I198" s="36">
        <f>'Majapidamiste nõudlus asulates'!K94</f>
        <v>2098.9948504911508</v>
      </c>
      <c r="J198" s="36">
        <f>'Majapidamiste nõudlus asulates'!L94</f>
        <v>2076.0874118308889</v>
      </c>
      <c r="K198" s="36">
        <f>'Majapidamiste nõudlus asulates'!M94</f>
        <v>2053.3696828075645</v>
      </c>
      <c r="L198" s="36">
        <f>'Majapidamiste nõudlus asulates'!N94</f>
        <v>2030.7468086027095</v>
      </c>
      <c r="M198" s="36">
        <f>'Majapidamiste nõudlus asulates'!O94</f>
        <v>2007.9342247609159</v>
      </c>
      <c r="N198" s="36">
        <f>'Majapidamiste nõudlus asulates'!P94</f>
        <v>1985.0267861006535</v>
      </c>
      <c r="O198" s="36">
        <f>'Majapidamiste nõudlus asulates'!Q94</f>
        <v>1961.9770652126876</v>
      </c>
      <c r="P198" s="36">
        <f>'Majapidamiste nõudlus asulates'!R94</f>
        <v>1938.6902072785495</v>
      </c>
      <c r="Q198" s="36">
        <f>'Majapidamiste nõudlus asulates'!S94</f>
        <v>1915.9724782552253</v>
      </c>
      <c r="R198" s="36">
        <f>'Majapidamiste nõudlus asulates'!T94</f>
        <v>1893.5209574223795</v>
      </c>
      <c r="S198" s="36">
        <f>'Majapidamiste nõudlus asulates'!U94</f>
        <v>1871.3325253308533</v>
      </c>
      <c r="T198" s="36">
        <f>'Majapidamiste nõudlus asulates'!V94</f>
        <v>1849.4040990854464</v>
      </c>
    </row>
    <row r="199" spans="1:20" x14ac:dyDescent="0.25">
      <c r="A199" s="48" t="s">
        <v>187</v>
      </c>
      <c r="B199" s="53">
        <v>10460</v>
      </c>
      <c r="C199" s="21">
        <v>9692</v>
      </c>
      <c r="D199" s="21">
        <v>9833</v>
      </c>
      <c r="E199" s="53">
        <v>10166</v>
      </c>
      <c r="F199" s="25">
        <f>(D199+E199)/2</f>
        <v>9999.5</v>
      </c>
      <c r="G199" s="25">
        <f t="shared" ref="G199:Q199" si="102">F199</f>
        <v>9999.5</v>
      </c>
      <c r="H199" s="25">
        <f t="shared" si="102"/>
        <v>9999.5</v>
      </c>
      <c r="I199" s="25">
        <f t="shared" si="102"/>
        <v>9999.5</v>
      </c>
      <c r="J199" s="25">
        <f t="shared" si="102"/>
        <v>9999.5</v>
      </c>
      <c r="K199" s="25">
        <f t="shared" si="102"/>
        <v>9999.5</v>
      </c>
      <c r="L199" s="25">
        <f t="shared" si="102"/>
        <v>9999.5</v>
      </c>
      <c r="M199" s="25">
        <f t="shared" si="102"/>
        <v>9999.5</v>
      </c>
      <c r="N199" s="25">
        <f t="shared" si="102"/>
        <v>9999.5</v>
      </c>
      <c r="O199" s="25">
        <f t="shared" si="102"/>
        <v>9999.5</v>
      </c>
      <c r="P199" s="25">
        <f t="shared" si="102"/>
        <v>9999.5</v>
      </c>
      <c r="Q199" s="25">
        <f t="shared" si="102"/>
        <v>9999.5</v>
      </c>
      <c r="R199" s="25">
        <f t="shared" ref="R199" si="103">Q199</f>
        <v>9999.5</v>
      </c>
      <c r="S199" s="25">
        <f t="shared" ref="S199" si="104">R199</f>
        <v>9999.5</v>
      </c>
      <c r="T199" s="25">
        <f t="shared" ref="T199" si="105">S199</f>
        <v>9999.5</v>
      </c>
    </row>
    <row r="200" spans="1:20" x14ac:dyDescent="0.25">
      <c r="A200" s="52" t="s">
        <v>216</v>
      </c>
      <c r="B200" s="57">
        <f>B198+B199</f>
        <v>12690</v>
      </c>
      <c r="C200" s="36">
        <f t="shared" ref="C200:P200" si="106">C198+C199</f>
        <v>11709.337148682291</v>
      </c>
      <c r="D200" s="36">
        <f t="shared" si="106"/>
        <v>11833</v>
      </c>
      <c r="E200" s="57">
        <f t="shared" si="106"/>
        <v>12358</v>
      </c>
      <c r="F200" s="36">
        <f t="shared" si="106"/>
        <v>12168.30799688433</v>
      </c>
      <c r="G200" s="36">
        <f t="shared" si="106"/>
        <v>12145.21084858713</v>
      </c>
      <c r="H200" s="36">
        <f t="shared" si="106"/>
        <v>12121.68685360682</v>
      </c>
      <c r="I200" s="36">
        <f t="shared" si="106"/>
        <v>12098.494850491152</v>
      </c>
      <c r="J200" s="36">
        <f t="shared" si="106"/>
        <v>12075.587411830889</v>
      </c>
      <c r="K200" s="36">
        <f t="shared" si="106"/>
        <v>12052.869682807564</v>
      </c>
      <c r="L200" s="36">
        <f t="shared" si="106"/>
        <v>12030.246808602709</v>
      </c>
      <c r="M200" s="36">
        <f t="shared" si="106"/>
        <v>12007.434224760917</v>
      </c>
      <c r="N200" s="36">
        <f t="shared" si="106"/>
        <v>11984.526786100654</v>
      </c>
      <c r="O200" s="36">
        <f t="shared" si="106"/>
        <v>11961.477065212688</v>
      </c>
      <c r="P200" s="36">
        <f t="shared" si="106"/>
        <v>11938.190207278549</v>
      </c>
      <c r="Q200" s="36">
        <f t="shared" ref="Q200:T200" si="107">Q198+Q199</f>
        <v>11915.472478255226</v>
      </c>
      <c r="R200" s="36">
        <f t="shared" si="107"/>
        <v>11893.020957422379</v>
      </c>
      <c r="S200" s="36">
        <f t="shared" si="107"/>
        <v>11870.832525330854</v>
      </c>
      <c r="T200" s="36">
        <f t="shared" si="107"/>
        <v>11848.904099085446</v>
      </c>
    </row>
    <row r="201" spans="1:20" x14ac:dyDescent="0.25">
      <c r="A201" s="21" t="s">
        <v>206</v>
      </c>
      <c r="B201" s="58">
        <f>B26</f>
        <v>5.3691275167785234E-2</v>
      </c>
      <c r="C201" s="38">
        <f>C26</f>
        <v>5.46875E-2</v>
      </c>
      <c r="D201" s="58">
        <f>$D$26</f>
        <v>0.31019004313862658</v>
      </c>
      <c r="E201" s="58">
        <f>$E$26</f>
        <v>8.803778318943252E-2</v>
      </c>
      <c r="F201" s="38">
        <f>(D201+E201)/2</f>
        <v>0.19911391316402954</v>
      </c>
      <c r="G201" s="38">
        <f t="shared" ref="G201:Q201" si="108">F201</f>
        <v>0.19911391316402954</v>
      </c>
      <c r="H201" s="38">
        <f t="shared" si="108"/>
        <v>0.19911391316402954</v>
      </c>
      <c r="I201" s="38">
        <f t="shared" si="108"/>
        <v>0.19911391316402954</v>
      </c>
      <c r="J201" s="38">
        <f t="shared" si="108"/>
        <v>0.19911391316402954</v>
      </c>
      <c r="K201" s="38">
        <f t="shared" si="108"/>
        <v>0.19911391316402954</v>
      </c>
      <c r="L201" s="38">
        <f t="shared" si="108"/>
        <v>0.19911391316402954</v>
      </c>
      <c r="M201" s="38">
        <f t="shared" si="108"/>
        <v>0.19911391316402954</v>
      </c>
      <c r="N201" s="38">
        <f t="shared" si="108"/>
        <v>0.19911391316402954</v>
      </c>
      <c r="O201" s="38">
        <f t="shared" si="108"/>
        <v>0.19911391316402954</v>
      </c>
      <c r="P201" s="38">
        <f t="shared" si="108"/>
        <v>0.19911391316402954</v>
      </c>
      <c r="Q201" s="38">
        <f t="shared" si="108"/>
        <v>0.19911391316402954</v>
      </c>
      <c r="R201" s="38">
        <f t="shared" ref="R201" si="109">Q201</f>
        <v>0.19911391316402954</v>
      </c>
      <c r="S201" s="38">
        <f t="shared" ref="S201" si="110">R201</f>
        <v>0.19911391316402954</v>
      </c>
      <c r="T201" s="38">
        <f t="shared" ref="T201" si="111">S201</f>
        <v>0.19911391316402954</v>
      </c>
    </row>
    <row r="202" spans="1:20" x14ac:dyDescent="0.25">
      <c r="A202" s="47" t="s">
        <v>205</v>
      </c>
      <c r="B202" s="45">
        <f>B203-B200</f>
        <v>720</v>
      </c>
      <c r="C202" s="25">
        <f t="shared" ref="C202:P202" si="112">C203-C200</f>
        <v>677.39966975848074</v>
      </c>
      <c r="D202" s="45">
        <f t="shared" si="112"/>
        <v>5321.0000000000036</v>
      </c>
      <c r="E202" s="45">
        <f t="shared" si="112"/>
        <v>1193</v>
      </c>
      <c r="F202" s="25">
        <f t="shared" si="112"/>
        <v>3025.2484862320052</v>
      </c>
      <c r="G202" s="25">
        <f t="shared" si="112"/>
        <v>3019.5061420260336</v>
      </c>
      <c r="H202" s="25">
        <f t="shared" si="112"/>
        <v>3013.6576764692345</v>
      </c>
      <c r="I202" s="25">
        <f t="shared" si="112"/>
        <v>3007.8917497408565</v>
      </c>
      <c r="J202" s="25">
        <f t="shared" si="112"/>
        <v>3002.1965705796974</v>
      </c>
      <c r="K202" s="25">
        <f t="shared" si="112"/>
        <v>2996.5485564633527</v>
      </c>
      <c r="L202" s="25">
        <f t="shared" si="112"/>
        <v>2990.9241248694143</v>
      </c>
      <c r="M202" s="25">
        <f t="shared" si="112"/>
        <v>2985.2525282306615</v>
      </c>
      <c r="N202" s="25">
        <f t="shared" si="112"/>
        <v>2979.5573490695042</v>
      </c>
      <c r="O202" s="25">
        <f t="shared" si="112"/>
        <v>2973.8267961247366</v>
      </c>
      <c r="P202" s="25">
        <f t="shared" si="112"/>
        <v>2968.0372868739523</v>
      </c>
      <c r="Q202" s="25">
        <f t="shared" ref="Q202:T202" si="113">Q203-Q200</f>
        <v>2962.3892727576058</v>
      </c>
      <c r="R202" s="25">
        <f t="shared" si="113"/>
        <v>2956.807442528574</v>
      </c>
      <c r="S202" s="25">
        <f t="shared" si="113"/>
        <v>2951.2910206387005</v>
      </c>
      <c r="T202" s="25">
        <f t="shared" si="113"/>
        <v>2945.8392406277617</v>
      </c>
    </row>
    <row r="203" spans="1:20" x14ac:dyDescent="0.25">
      <c r="A203" s="93" t="s">
        <v>278</v>
      </c>
      <c r="B203" s="59">
        <f>B200/(1-B201)*100/100</f>
        <v>13410</v>
      </c>
      <c r="C203" s="33">
        <f t="shared" ref="C203:P203" si="114">C200/(1-C201)*100/100</f>
        <v>12386.736818440771</v>
      </c>
      <c r="D203" s="59">
        <f t="shared" si="114"/>
        <v>17154.000000000004</v>
      </c>
      <c r="E203" s="59">
        <f t="shared" si="114"/>
        <v>13551</v>
      </c>
      <c r="F203" s="33">
        <f t="shared" si="114"/>
        <v>15193.556483116336</v>
      </c>
      <c r="G203" s="33">
        <f t="shared" si="114"/>
        <v>15164.716990613164</v>
      </c>
      <c r="H203" s="33">
        <f t="shared" si="114"/>
        <v>15135.344530076054</v>
      </c>
      <c r="I203" s="33">
        <f t="shared" si="114"/>
        <v>15106.386600232008</v>
      </c>
      <c r="J203" s="33">
        <f t="shared" si="114"/>
        <v>15077.783982410587</v>
      </c>
      <c r="K203" s="33">
        <f t="shared" si="114"/>
        <v>15049.418239270917</v>
      </c>
      <c r="L203" s="33">
        <f t="shared" si="114"/>
        <v>15021.170933472124</v>
      </c>
      <c r="M203" s="33">
        <f t="shared" si="114"/>
        <v>14992.686752991578</v>
      </c>
      <c r="N203" s="33">
        <f t="shared" si="114"/>
        <v>14964.084135170158</v>
      </c>
      <c r="O203" s="33">
        <f t="shared" si="114"/>
        <v>14935.303861337425</v>
      </c>
      <c r="P203" s="33">
        <f t="shared" si="114"/>
        <v>14906.227494152501</v>
      </c>
      <c r="Q203" s="33">
        <f t="shared" ref="Q203:T203" si="115">Q200/(1-Q201)*100/100</f>
        <v>14877.861751012832</v>
      </c>
      <c r="R203" s="33">
        <f t="shared" si="115"/>
        <v>14849.828399950953</v>
      </c>
      <c r="S203" s="33">
        <f t="shared" si="115"/>
        <v>14822.123545969554</v>
      </c>
      <c r="T203" s="33">
        <f t="shared" si="115"/>
        <v>14794.743339713208</v>
      </c>
    </row>
    <row r="204" spans="1:20" x14ac:dyDescent="0.25">
      <c r="A204" s="48" t="s">
        <v>188</v>
      </c>
      <c r="B204" s="57">
        <f>'Majapidamiste nõudlus asulates'!D95</f>
        <v>720</v>
      </c>
      <c r="C204" s="36">
        <f>'Majapidamiste nõudlus asulates'!E95</f>
        <v>754.82310807936199</v>
      </c>
      <c r="D204" s="36">
        <f>'Majapidamiste nõudlus asulates'!F95</f>
        <v>844</v>
      </c>
      <c r="E204" s="57">
        <f>'Majapidamiste nõudlus asulates'!G95</f>
        <v>764</v>
      </c>
      <c r="F204" s="36">
        <f>'Majapidamiste nõudlus asulates'!H95</f>
        <v>755.91665584837051</v>
      </c>
      <c r="G204" s="36">
        <f>'Majapidamiste nõudlus asulates'!I95</f>
        <v>747.86637240901803</v>
      </c>
      <c r="H204" s="36">
        <f>'Majapidamiste nõudlus asulates'!J95</f>
        <v>739.66731576442066</v>
      </c>
      <c r="I204" s="36">
        <f>'Majapidamiste nõudlus asulates'!K95</f>
        <v>731.5839716127914</v>
      </c>
      <c r="J204" s="36">
        <f>'Majapidamiste nõudlus asulates'!L95</f>
        <v>723.59980959799191</v>
      </c>
      <c r="K204" s="36">
        <f>'Majapidamiste nõudlus asulates'!M95</f>
        <v>715.68176900774563</v>
      </c>
      <c r="L204" s="36">
        <f>'Majapidamiste nõudlus asulates'!N95</f>
        <v>707.79678912977613</v>
      </c>
      <c r="M204" s="36">
        <f>'Majapidamiste nõudlus asulates'!O95</f>
        <v>699.8456878272533</v>
      </c>
      <c r="N204" s="36">
        <f>'Majapidamiste nõudlus asulates'!P95</f>
        <v>691.86152581245381</v>
      </c>
      <c r="O204" s="36">
        <f>'Majapidamiste nõudlus asulates'!Q95</f>
        <v>683.82777272923965</v>
      </c>
      <c r="P204" s="36">
        <f>'Majapidamiste nõudlus asulates'!R95</f>
        <v>675.71136786533395</v>
      </c>
      <c r="Q204" s="36">
        <f>'Majapidamiste nõudlus asulates'!S95</f>
        <v>667.79332727508745</v>
      </c>
      <c r="R204" s="36">
        <f>'Majapidamiste nõudlus asulates'!T95</f>
        <v>659.96807092641325</v>
      </c>
      <c r="S204" s="36">
        <f>'Majapidamiste nõudlus asulates'!U95</f>
        <v>652.2345115660454</v>
      </c>
      <c r="T204" s="36">
        <f>'Majapidamiste nõudlus asulates'!V95</f>
        <v>644.59157468124147</v>
      </c>
    </row>
    <row r="205" spans="1:20" x14ac:dyDescent="0.25">
      <c r="A205" s="48" t="s">
        <v>189</v>
      </c>
      <c r="B205" s="53">
        <v>0</v>
      </c>
      <c r="C205" s="21">
        <v>0</v>
      </c>
      <c r="D205" s="21">
        <v>0</v>
      </c>
      <c r="E205" s="53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</row>
    <row r="206" spans="1:20" x14ac:dyDescent="0.25">
      <c r="A206" s="52" t="s">
        <v>217</v>
      </c>
      <c r="B206" s="57">
        <f>B204+B205</f>
        <v>720</v>
      </c>
      <c r="C206" s="36">
        <f t="shared" ref="C206:P206" si="116">C204+C205</f>
        <v>754.82310807936199</v>
      </c>
      <c r="D206" s="36">
        <f t="shared" si="116"/>
        <v>844</v>
      </c>
      <c r="E206" s="57">
        <f t="shared" si="116"/>
        <v>764</v>
      </c>
      <c r="F206" s="36">
        <f t="shared" si="116"/>
        <v>755.91665584837051</v>
      </c>
      <c r="G206" s="36">
        <f t="shared" si="116"/>
        <v>747.86637240901803</v>
      </c>
      <c r="H206" s="36">
        <f t="shared" si="116"/>
        <v>739.66731576442066</v>
      </c>
      <c r="I206" s="36">
        <f t="shared" si="116"/>
        <v>731.5839716127914</v>
      </c>
      <c r="J206" s="36">
        <f t="shared" si="116"/>
        <v>723.59980959799191</v>
      </c>
      <c r="K206" s="36">
        <f t="shared" si="116"/>
        <v>715.68176900774563</v>
      </c>
      <c r="L206" s="36">
        <f t="shared" si="116"/>
        <v>707.79678912977613</v>
      </c>
      <c r="M206" s="36">
        <f t="shared" si="116"/>
        <v>699.8456878272533</v>
      </c>
      <c r="N206" s="36">
        <f t="shared" si="116"/>
        <v>691.86152581245381</v>
      </c>
      <c r="O206" s="36">
        <f t="shared" si="116"/>
        <v>683.82777272923965</v>
      </c>
      <c r="P206" s="36">
        <f t="shared" si="116"/>
        <v>675.71136786533395</v>
      </c>
      <c r="Q206" s="36">
        <f t="shared" ref="Q206:T206" si="117">Q204+Q205</f>
        <v>667.79332727508745</v>
      </c>
      <c r="R206" s="36">
        <f t="shared" si="117"/>
        <v>659.96807092641325</v>
      </c>
      <c r="S206" s="36">
        <f t="shared" si="117"/>
        <v>652.2345115660454</v>
      </c>
      <c r="T206" s="36">
        <f t="shared" si="117"/>
        <v>644.59157468124147</v>
      </c>
    </row>
    <row r="207" spans="1:20" x14ac:dyDescent="0.25">
      <c r="A207" s="21" t="s">
        <v>206</v>
      </c>
      <c r="B207" s="58">
        <f>B38</f>
        <v>0.2</v>
      </c>
      <c r="C207" s="38">
        <f>C38</f>
        <v>0.20224719101123595</v>
      </c>
      <c r="D207" s="38">
        <f>$D$38</f>
        <v>0.16435643564356436</v>
      </c>
      <c r="E207" s="58">
        <f>$E$38</f>
        <v>0.21961184882533197</v>
      </c>
      <c r="F207" s="38">
        <f>(D207+E207)/2</f>
        <v>0.19198414223444815</v>
      </c>
      <c r="G207" s="38">
        <f>F207</f>
        <v>0.19198414223444815</v>
      </c>
      <c r="H207" s="38">
        <f t="shared" ref="H207:Q207" si="118">G207</f>
        <v>0.19198414223444815</v>
      </c>
      <c r="I207" s="38">
        <f t="shared" si="118"/>
        <v>0.19198414223444815</v>
      </c>
      <c r="J207" s="38">
        <f t="shared" si="118"/>
        <v>0.19198414223444815</v>
      </c>
      <c r="K207" s="38">
        <f t="shared" si="118"/>
        <v>0.19198414223444815</v>
      </c>
      <c r="L207" s="38">
        <f t="shared" si="118"/>
        <v>0.19198414223444815</v>
      </c>
      <c r="M207" s="38">
        <f t="shared" si="118"/>
        <v>0.19198414223444815</v>
      </c>
      <c r="N207" s="38">
        <f t="shared" si="118"/>
        <v>0.19198414223444815</v>
      </c>
      <c r="O207" s="38">
        <f t="shared" si="118"/>
        <v>0.19198414223444815</v>
      </c>
      <c r="P207" s="38">
        <f t="shared" si="118"/>
        <v>0.19198414223444815</v>
      </c>
      <c r="Q207" s="38">
        <f t="shared" si="118"/>
        <v>0.19198414223444815</v>
      </c>
      <c r="R207" s="38">
        <f t="shared" ref="R207" si="119">Q207</f>
        <v>0.19198414223444815</v>
      </c>
      <c r="S207" s="38">
        <f t="shared" ref="S207" si="120">R207</f>
        <v>0.19198414223444815</v>
      </c>
      <c r="T207" s="38">
        <f t="shared" ref="T207" si="121">S207</f>
        <v>0.19198414223444815</v>
      </c>
    </row>
    <row r="208" spans="1:20" x14ac:dyDescent="0.25">
      <c r="A208" s="47" t="s">
        <v>205</v>
      </c>
      <c r="B208" s="45">
        <f>B209-B206</f>
        <v>180</v>
      </c>
      <c r="C208" s="25">
        <f t="shared" ref="C208:P208" si="122">C209-C206</f>
        <v>191.36360486519038</v>
      </c>
      <c r="D208" s="25">
        <f t="shared" si="122"/>
        <v>166</v>
      </c>
      <c r="E208" s="45">
        <f t="shared" si="122"/>
        <v>215.00000000000011</v>
      </c>
      <c r="F208" s="25">
        <f t="shared" si="122"/>
        <v>179.60539929884658</v>
      </c>
      <c r="G208" s="25">
        <f t="shared" si="122"/>
        <v>177.69265619362807</v>
      </c>
      <c r="H208" s="25">
        <f t="shared" si="122"/>
        <v>175.7445646532002</v>
      </c>
      <c r="I208" s="25">
        <f t="shared" si="122"/>
        <v>173.82396634015731</v>
      </c>
      <c r="J208" s="25">
        <f t="shared" si="122"/>
        <v>171.92693365058744</v>
      </c>
      <c r="K208" s="25">
        <f t="shared" si="122"/>
        <v>170.04561137666599</v>
      </c>
      <c r="L208" s="25">
        <f t="shared" si="122"/>
        <v>168.17214431056914</v>
      </c>
      <c r="M208" s="25">
        <f t="shared" si="122"/>
        <v>166.28296682882342</v>
      </c>
      <c r="N208" s="25">
        <f t="shared" si="122"/>
        <v>164.38593413925366</v>
      </c>
      <c r="O208" s="25">
        <f t="shared" si="122"/>
        <v>162.47711863794723</v>
      </c>
      <c r="P208" s="25">
        <f t="shared" si="122"/>
        <v>160.54866511708008</v>
      </c>
      <c r="Q208" s="25">
        <f t="shared" ref="Q208:T208" si="123">Q209-Q206</f>
        <v>158.66734284315874</v>
      </c>
      <c r="R208" s="25">
        <f t="shared" si="123"/>
        <v>156.80806605616669</v>
      </c>
      <c r="S208" s="25">
        <f t="shared" si="123"/>
        <v>154.97057642530081</v>
      </c>
      <c r="T208" s="25">
        <f t="shared" si="123"/>
        <v>153.15461864689928</v>
      </c>
    </row>
    <row r="209" spans="1:20" x14ac:dyDescent="0.25">
      <c r="A209" s="93" t="s">
        <v>279</v>
      </c>
      <c r="B209" s="59">
        <f>B206/(1-B207)*100/100</f>
        <v>900</v>
      </c>
      <c r="C209" s="33">
        <f t="shared" ref="C209:P209" si="124">C206/(1-C207)*100/100</f>
        <v>946.18671294455237</v>
      </c>
      <c r="D209" s="33">
        <f t="shared" si="124"/>
        <v>1010</v>
      </c>
      <c r="E209" s="59">
        <f t="shared" si="124"/>
        <v>979.00000000000011</v>
      </c>
      <c r="F209" s="33">
        <f t="shared" si="124"/>
        <v>935.52205514721709</v>
      </c>
      <c r="G209" s="33">
        <f t="shared" si="124"/>
        <v>925.55902860264609</v>
      </c>
      <c r="H209" s="33">
        <f t="shared" si="124"/>
        <v>915.41188041762086</v>
      </c>
      <c r="I209" s="33">
        <f t="shared" si="124"/>
        <v>905.40793795294871</v>
      </c>
      <c r="J209" s="33">
        <f t="shared" si="124"/>
        <v>895.52674324857935</v>
      </c>
      <c r="K209" s="33">
        <f t="shared" si="124"/>
        <v>885.72738038441162</v>
      </c>
      <c r="L209" s="33">
        <f t="shared" si="124"/>
        <v>875.96893344034527</v>
      </c>
      <c r="M209" s="33">
        <f t="shared" si="124"/>
        <v>866.12865465607672</v>
      </c>
      <c r="N209" s="33">
        <f t="shared" si="124"/>
        <v>856.24745995170747</v>
      </c>
      <c r="O209" s="33">
        <f t="shared" si="124"/>
        <v>846.30489136718688</v>
      </c>
      <c r="P209" s="33">
        <f t="shared" si="124"/>
        <v>836.26003298241403</v>
      </c>
      <c r="Q209" s="33">
        <f t="shared" ref="Q209:T209" si="125">Q206/(1-Q207)*100/100</f>
        <v>826.46067011824618</v>
      </c>
      <c r="R209" s="33">
        <f t="shared" si="125"/>
        <v>816.77613698257994</v>
      </c>
      <c r="S209" s="33">
        <f t="shared" si="125"/>
        <v>807.2050879913462</v>
      </c>
      <c r="T209" s="33">
        <f t="shared" si="125"/>
        <v>797.74619332814075</v>
      </c>
    </row>
    <row r="210" spans="1:20" x14ac:dyDescent="0.25">
      <c r="A210" s="108" t="s">
        <v>246</v>
      </c>
      <c r="B210" s="53">
        <v>0</v>
      </c>
      <c r="C210" s="21">
        <v>4440</v>
      </c>
      <c r="D210" s="36">
        <f>'Majapidamiste nõudlus asulates'!F96</f>
        <v>5402</v>
      </c>
      <c r="E210" s="57">
        <f>'Majapidamiste nõudlus asulates'!G96</f>
        <v>4920</v>
      </c>
      <c r="F210" s="36">
        <f>'Majapidamiste nõudlus asulates'!H96</f>
        <v>5079.1764705882351</v>
      </c>
      <c r="G210" s="36">
        <f>'Majapidamiste nõudlus asulates'!I96</f>
        <v>5063.6116250082005</v>
      </c>
      <c r="H210" s="36">
        <f>'Majapidamiste nõudlus asulates'!J96</f>
        <v>5047.7591334112867</v>
      </c>
      <c r="I210" s="36">
        <f>'Majapidamiste nõudlus asulates'!K96</f>
        <v>5032.130366494167</v>
      </c>
      <c r="J210" s="36">
        <f>'Majapidamiste nõudlus asulates'!L96</f>
        <v>5016.6933635883006</v>
      </c>
      <c r="K210" s="36">
        <f>'Majapidamiste nõudlus asulates'!M96</f>
        <v>5001.3842033566034</v>
      </c>
      <c r="L210" s="36">
        <f>'Majapidamiste nõudlus asulates'!N96</f>
        <v>4986.1389644619903</v>
      </c>
      <c r="M210" s="36">
        <f>'Majapidamiste nõudlus asulates'!O96</f>
        <v>4970.765882893209</v>
      </c>
      <c r="N210" s="36">
        <f>'Majapidamiste nõudlus asulates'!P96</f>
        <v>4955.3288799873426</v>
      </c>
      <c r="O210" s="36">
        <f>'Majapidamiste nõudlus asulates'!Q96</f>
        <v>4939.7959950758495</v>
      </c>
      <c r="P210" s="36">
        <f>'Majapidamiste nõudlus asulates'!R96</f>
        <v>4924.1033068216457</v>
      </c>
      <c r="Q210" s="36">
        <f>'Majapidamiste nõudlus asulates'!S96</f>
        <v>4908.7941465899485</v>
      </c>
      <c r="R210" s="36">
        <f>'Majapidamiste nõudlus asulates'!T96</f>
        <v>4893.6643803389979</v>
      </c>
      <c r="S210" s="36">
        <f>'Majapidamiste nõudlus asulates'!U96</f>
        <v>4878.711905915583</v>
      </c>
      <c r="T210" s="36">
        <f>'Majapidamiste nõudlus asulates'!V96</f>
        <v>4863.9346457996971</v>
      </c>
    </row>
    <row r="211" spans="1:20" x14ac:dyDescent="0.25">
      <c r="A211" s="108" t="s">
        <v>331</v>
      </c>
      <c r="B211" s="53">
        <v>0</v>
      </c>
      <c r="C211" s="21">
        <v>300</v>
      </c>
      <c r="D211" s="21">
        <v>222</v>
      </c>
      <c r="E211" s="53">
        <v>711</v>
      </c>
      <c r="F211" s="21">
        <v>419</v>
      </c>
      <c r="G211" s="21">
        <v>419</v>
      </c>
      <c r="H211" s="21">
        <v>419</v>
      </c>
      <c r="I211" s="21">
        <v>419</v>
      </c>
      <c r="J211" s="21">
        <v>419</v>
      </c>
      <c r="K211" s="21">
        <v>419</v>
      </c>
      <c r="L211" s="21">
        <v>419</v>
      </c>
      <c r="M211" s="21">
        <v>419</v>
      </c>
      <c r="N211" s="21">
        <v>419</v>
      </c>
      <c r="O211" s="21">
        <v>419</v>
      </c>
      <c r="P211" s="21">
        <v>419</v>
      </c>
      <c r="Q211" s="21">
        <v>419</v>
      </c>
      <c r="R211" s="21">
        <v>419</v>
      </c>
      <c r="S211" s="21">
        <v>419</v>
      </c>
      <c r="T211" s="21">
        <v>419</v>
      </c>
    </row>
    <row r="212" spans="1:20" x14ac:dyDescent="0.25">
      <c r="A212" s="52" t="s">
        <v>218</v>
      </c>
      <c r="B212" s="53">
        <v>0</v>
      </c>
      <c r="C212" s="21">
        <f>C210+C211</f>
        <v>4740</v>
      </c>
      <c r="D212" s="25">
        <f>D210+D211</f>
        <v>5624</v>
      </c>
      <c r="E212" s="25">
        <f t="shared" ref="E212:P212" si="126">E210+E211</f>
        <v>5631</v>
      </c>
      <c r="F212" s="25">
        <f t="shared" si="126"/>
        <v>5498.1764705882351</v>
      </c>
      <c r="G212" s="25">
        <f t="shared" si="126"/>
        <v>5482.6116250082005</v>
      </c>
      <c r="H212" s="25">
        <f t="shared" si="126"/>
        <v>5466.7591334112867</v>
      </c>
      <c r="I212" s="25">
        <f t="shared" si="126"/>
        <v>5451.130366494167</v>
      </c>
      <c r="J212" s="25">
        <f t="shared" si="126"/>
        <v>5435.6933635883006</v>
      </c>
      <c r="K212" s="25">
        <f t="shared" si="126"/>
        <v>5420.3842033566034</v>
      </c>
      <c r="L212" s="25">
        <f t="shared" si="126"/>
        <v>5405.1389644619903</v>
      </c>
      <c r="M212" s="25">
        <f t="shared" si="126"/>
        <v>5389.765882893209</v>
      </c>
      <c r="N212" s="25">
        <f t="shared" si="126"/>
        <v>5374.3288799873426</v>
      </c>
      <c r="O212" s="25">
        <f t="shared" si="126"/>
        <v>5358.7959950758495</v>
      </c>
      <c r="P212" s="25">
        <f t="shared" si="126"/>
        <v>5343.1033068216457</v>
      </c>
      <c r="Q212" s="25">
        <f t="shared" ref="Q212:T212" si="127">Q210+Q211</f>
        <v>5327.7941465899485</v>
      </c>
      <c r="R212" s="25">
        <f t="shared" si="127"/>
        <v>5312.6643803389979</v>
      </c>
      <c r="S212" s="25">
        <f t="shared" si="127"/>
        <v>5297.711905915583</v>
      </c>
      <c r="T212" s="25">
        <f t="shared" si="127"/>
        <v>5282.9346457996971</v>
      </c>
    </row>
    <row r="213" spans="1:20" x14ac:dyDescent="0.25">
      <c r="A213" s="53" t="s">
        <v>206</v>
      </c>
      <c r="B213" s="53">
        <v>0</v>
      </c>
      <c r="C213" s="38">
        <f>$C$86</f>
        <v>0.16842105263157894</v>
      </c>
      <c r="D213" s="38">
        <f>$D$86</f>
        <v>0.276376737004632</v>
      </c>
      <c r="E213" s="38">
        <f>$E$86</f>
        <v>0.23987580993520519</v>
      </c>
      <c r="F213" s="38">
        <f>(D213+E213)/2</f>
        <v>0.25812627346991857</v>
      </c>
      <c r="G213" s="38">
        <f>F213</f>
        <v>0.25812627346991857</v>
      </c>
      <c r="H213" s="38">
        <f t="shared" ref="H213:Q213" si="128">G213</f>
        <v>0.25812627346991857</v>
      </c>
      <c r="I213" s="38">
        <f t="shared" si="128"/>
        <v>0.25812627346991857</v>
      </c>
      <c r="J213" s="38">
        <f t="shared" si="128"/>
        <v>0.25812627346991857</v>
      </c>
      <c r="K213" s="38">
        <f t="shared" si="128"/>
        <v>0.25812627346991857</v>
      </c>
      <c r="L213" s="38">
        <f t="shared" si="128"/>
        <v>0.25812627346991857</v>
      </c>
      <c r="M213" s="38">
        <f t="shared" si="128"/>
        <v>0.25812627346991857</v>
      </c>
      <c r="N213" s="38">
        <f t="shared" si="128"/>
        <v>0.25812627346991857</v>
      </c>
      <c r="O213" s="38">
        <f t="shared" si="128"/>
        <v>0.25812627346991857</v>
      </c>
      <c r="P213" s="38">
        <f t="shared" si="128"/>
        <v>0.25812627346991857</v>
      </c>
      <c r="Q213" s="38">
        <f t="shared" si="128"/>
        <v>0.25812627346991857</v>
      </c>
      <c r="R213" s="38">
        <f t="shared" ref="R213" si="129">Q213</f>
        <v>0.25812627346991857</v>
      </c>
      <c r="S213" s="38">
        <f t="shared" ref="S213" si="130">R213</f>
        <v>0.25812627346991857</v>
      </c>
      <c r="T213" s="38">
        <f t="shared" ref="T213" si="131">S213</f>
        <v>0.25812627346991857</v>
      </c>
    </row>
    <row r="214" spans="1:20" x14ac:dyDescent="0.25">
      <c r="A214" s="47" t="s">
        <v>205</v>
      </c>
      <c r="B214" s="53">
        <v>0</v>
      </c>
      <c r="C214" s="25">
        <f t="shared" ref="C214" si="132">C215-C212</f>
        <v>960</v>
      </c>
      <c r="D214" s="25">
        <f t="shared" ref="D214" si="133">D215-D212</f>
        <v>2147.9999999999991</v>
      </c>
      <c r="E214" s="25">
        <f t="shared" ref="E214" si="134">E215-E212</f>
        <v>1777</v>
      </c>
      <c r="F214" s="25">
        <f t="shared" ref="F214" si="135">F215-F212</f>
        <v>1913.0261019903955</v>
      </c>
      <c r="G214" s="25">
        <f t="shared" ref="G214" si="136">G215-G212</f>
        <v>1907.6104962841509</v>
      </c>
      <c r="H214" s="25">
        <f t="shared" ref="H214" si="137">H215-H212</f>
        <v>1902.0948075155729</v>
      </c>
      <c r="I214" s="25">
        <f t="shared" ref="I214" si="138">I215-I212</f>
        <v>1896.6569611288105</v>
      </c>
      <c r="J214" s="25">
        <f t="shared" ref="J214" si="139">J215-J212</f>
        <v>1891.2858367836034</v>
      </c>
      <c r="K214" s="25">
        <f t="shared" ref="K214" si="140">K215-K212</f>
        <v>1885.9591937994328</v>
      </c>
      <c r="L214" s="25">
        <f t="shared" ref="L214" si="141">L215-L212</f>
        <v>1880.6547914957819</v>
      </c>
      <c r="M214" s="25">
        <f t="shared" ref="M214" si="142">M215-M212</f>
        <v>1875.3059078310907</v>
      </c>
      <c r="N214" s="25">
        <f t="shared" ref="N214" si="143">N215-N212</f>
        <v>1869.9347834858845</v>
      </c>
      <c r="O214" s="25">
        <f t="shared" ref="O214" si="144">O215-O212</f>
        <v>1864.5302981198993</v>
      </c>
      <c r="P214" s="25">
        <f t="shared" ref="P214:Q214" si="145">P215-P212</f>
        <v>1859.0702110526172</v>
      </c>
      <c r="Q214" s="25">
        <f t="shared" si="145"/>
        <v>1853.7435680684466</v>
      </c>
      <c r="R214" s="25">
        <f t="shared" ref="R214:T214" si="146">R215-R212</f>
        <v>1848.479343118609</v>
      </c>
      <c r="S214" s="25">
        <f t="shared" si="146"/>
        <v>1843.276804783517</v>
      </c>
      <c r="T214" s="25">
        <f t="shared" si="146"/>
        <v>1838.1352302144178</v>
      </c>
    </row>
    <row r="215" spans="1:20" x14ac:dyDescent="0.25">
      <c r="A215" s="93" t="s">
        <v>280</v>
      </c>
      <c r="B215" s="62">
        <v>0</v>
      </c>
      <c r="C215" s="33">
        <f t="shared" ref="C215:P215" si="147">C212/(1-C213)*100/100</f>
        <v>5700</v>
      </c>
      <c r="D215" s="33">
        <f t="shared" si="147"/>
        <v>7771.9999999999991</v>
      </c>
      <c r="E215" s="33">
        <f t="shared" si="147"/>
        <v>7408</v>
      </c>
      <c r="F215" s="33">
        <f t="shared" si="147"/>
        <v>7411.2025725786307</v>
      </c>
      <c r="G215" s="33">
        <f t="shared" si="147"/>
        <v>7390.2221212923514</v>
      </c>
      <c r="H215" s="33">
        <f t="shared" si="147"/>
        <v>7368.8539409268597</v>
      </c>
      <c r="I215" s="33">
        <f t="shared" si="147"/>
        <v>7347.7873276229775</v>
      </c>
      <c r="J215" s="33">
        <f t="shared" si="147"/>
        <v>7326.979200371904</v>
      </c>
      <c r="K215" s="33">
        <f t="shared" si="147"/>
        <v>7306.3433971560362</v>
      </c>
      <c r="L215" s="33">
        <f t="shared" si="147"/>
        <v>7285.7937559577722</v>
      </c>
      <c r="M215" s="33">
        <f t="shared" si="147"/>
        <v>7265.0717907242997</v>
      </c>
      <c r="N215" s="33">
        <f t="shared" si="147"/>
        <v>7244.2636634732271</v>
      </c>
      <c r="O215" s="33">
        <f t="shared" si="147"/>
        <v>7223.3262931957488</v>
      </c>
      <c r="P215" s="33">
        <f t="shared" si="147"/>
        <v>7202.1735178742629</v>
      </c>
      <c r="Q215" s="33">
        <f t="shared" ref="Q215:T215" si="148">Q212/(1-Q213)*100/100</f>
        <v>7181.5377146583951</v>
      </c>
      <c r="R215" s="33">
        <f t="shared" si="148"/>
        <v>7161.1437234576069</v>
      </c>
      <c r="S215" s="33">
        <f t="shared" si="148"/>
        <v>7140.9887106991</v>
      </c>
      <c r="T215" s="33">
        <f t="shared" si="148"/>
        <v>7121.0698760141149</v>
      </c>
    </row>
    <row r="216" spans="1:20" x14ac:dyDescent="0.25">
      <c r="A216" s="48" t="s">
        <v>192</v>
      </c>
      <c r="B216" s="53">
        <v>3850</v>
      </c>
      <c r="C216" s="36">
        <v>7240</v>
      </c>
      <c r="D216" s="36">
        <f>'Majapidamiste nõudlus asulates'!F97</f>
        <v>5983</v>
      </c>
      <c r="E216" s="36">
        <f>'Majapidamiste nõudlus asulates'!G97</f>
        <v>6000</v>
      </c>
      <c r="F216" s="36">
        <f>'Majapidamiste nõudlus asulates'!H97</f>
        <v>5936.518239646889</v>
      </c>
      <c r="G216" s="36">
        <f>'Majapidamiste nõudlus asulates'!I97</f>
        <v>5873.2961183954303</v>
      </c>
      <c r="H216" s="36">
        <f>'Majapidamiste nõudlus asulates'!J97</f>
        <v>5808.9056211865509</v>
      </c>
      <c r="I216" s="36">
        <f>'Majapidamiste nõudlus asulates'!K97</f>
        <v>5745.4238608334417</v>
      </c>
      <c r="J216" s="36">
        <f>'Majapidamiste nõudlus asulates'!L97</f>
        <v>5682.7210177852794</v>
      </c>
      <c r="K216" s="36">
        <f>'Majapidamiste nõudlus asulates'!M97</f>
        <v>5620.5374529404144</v>
      </c>
      <c r="L216" s="36">
        <f>'Majapidamiste nõudlus asulates'!N97</f>
        <v>5558.6135271971971</v>
      </c>
      <c r="M216" s="36">
        <f>'Majapidamiste nõudlus asulates'!O97</f>
        <v>5496.1703232506825</v>
      </c>
      <c r="N216" s="36">
        <f>'Majapidamiste nõudlus asulates'!P97</f>
        <v>5433.4674802025202</v>
      </c>
      <c r="O216" s="36">
        <f>'Majapidamiste nõudlus asulates'!Q97</f>
        <v>5370.3751785018821</v>
      </c>
      <c r="P216" s="36">
        <f>'Majapidamiste nõudlus asulates'!R97</f>
        <v>5306.6337790471252</v>
      </c>
      <c r="Q216" s="36">
        <f>'Majapidamiste nõudlus asulates'!S97</f>
        <v>5244.4502142022593</v>
      </c>
      <c r="R216" s="36">
        <f>'Majapidamiste nõudlus asulates'!T97</f>
        <v>5182.9953214116231</v>
      </c>
      <c r="S216" s="36">
        <f>'Majapidamiste nõudlus asulates'!U97</f>
        <v>5122.2605620370068</v>
      </c>
      <c r="T216" s="36">
        <f>'Majapidamiste nõudlus asulates'!V97</f>
        <v>5062.2374974966606</v>
      </c>
    </row>
    <row r="217" spans="1:20" x14ac:dyDescent="0.25">
      <c r="A217" s="48" t="s">
        <v>193</v>
      </c>
      <c r="B217" s="53">
        <v>0</v>
      </c>
      <c r="C217" s="21">
        <v>0</v>
      </c>
      <c r="D217" s="21">
        <v>969</v>
      </c>
      <c r="E217" s="21">
        <v>1085</v>
      </c>
      <c r="F217" s="21">
        <f>(D217+E217)/2</f>
        <v>1027</v>
      </c>
      <c r="G217" s="21">
        <f t="shared" ref="G217" si="149">F217</f>
        <v>1027</v>
      </c>
      <c r="H217" s="21">
        <f t="shared" ref="H217" si="150">G217</f>
        <v>1027</v>
      </c>
      <c r="I217" s="21">
        <f t="shared" ref="I217" si="151">H217</f>
        <v>1027</v>
      </c>
      <c r="J217" s="21">
        <f t="shared" ref="J217" si="152">I217</f>
        <v>1027</v>
      </c>
      <c r="K217" s="21">
        <f t="shared" ref="K217" si="153">J217</f>
        <v>1027</v>
      </c>
      <c r="L217" s="21">
        <f t="shared" ref="L217" si="154">K217</f>
        <v>1027</v>
      </c>
      <c r="M217" s="21">
        <f t="shared" ref="M217" si="155">L217</f>
        <v>1027</v>
      </c>
      <c r="N217" s="21">
        <f t="shared" ref="N217" si="156">M217</f>
        <v>1027</v>
      </c>
      <c r="O217" s="21">
        <f t="shared" ref="O217" si="157">N217</f>
        <v>1027</v>
      </c>
      <c r="P217" s="21">
        <f t="shared" ref="P217" si="158">O217</f>
        <v>1027</v>
      </c>
      <c r="Q217" s="21">
        <f t="shared" ref="Q217" si="159">P217</f>
        <v>1027</v>
      </c>
      <c r="R217" s="21">
        <f t="shared" ref="R217" si="160">Q217</f>
        <v>1027</v>
      </c>
      <c r="S217" s="21">
        <f t="shared" ref="S217" si="161">R217</f>
        <v>1027</v>
      </c>
      <c r="T217" s="21">
        <f t="shared" ref="T217" si="162">S217</f>
        <v>1027</v>
      </c>
    </row>
    <row r="218" spans="1:20" x14ac:dyDescent="0.25">
      <c r="A218" s="52" t="s">
        <v>219</v>
      </c>
      <c r="B218" s="53">
        <f>B216+B217</f>
        <v>3850</v>
      </c>
      <c r="C218" s="21">
        <f t="shared" ref="C218:P218" si="163">C216+C217</f>
        <v>7240</v>
      </c>
      <c r="D218" s="25">
        <f t="shared" si="163"/>
        <v>6952</v>
      </c>
      <c r="E218" s="25">
        <f t="shared" si="163"/>
        <v>7085</v>
      </c>
      <c r="F218" s="25">
        <f t="shared" si="163"/>
        <v>6963.518239646889</v>
      </c>
      <c r="G218" s="25">
        <f t="shared" si="163"/>
        <v>6900.2961183954303</v>
      </c>
      <c r="H218" s="25">
        <f t="shared" si="163"/>
        <v>6835.9056211865509</v>
      </c>
      <c r="I218" s="25">
        <f t="shared" si="163"/>
        <v>6772.4238608334417</v>
      </c>
      <c r="J218" s="25">
        <f t="shared" si="163"/>
        <v>6709.7210177852794</v>
      </c>
      <c r="K218" s="25">
        <f t="shared" si="163"/>
        <v>6647.5374529404144</v>
      </c>
      <c r="L218" s="25">
        <f t="shared" si="163"/>
        <v>6585.6135271971971</v>
      </c>
      <c r="M218" s="25">
        <f t="shared" si="163"/>
        <v>6523.1703232506825</v>
      </c>
      <c r="N218" s="25">
        <f t="shared" si="163"/>
        <v>6460.4674802025202</v>
      </c>
      <c r="O218" s="25">
        <f t="shared" si="163"/>
        <v>6397.3751785018821</v>
      </c>
      <c r="P218" s="25">
        <f t="shared" si="163"/>
        <v>6333.6337790471252</v>
      </c>
      <c r="Q218" s="25">
        <f t="shared" ref="Q218:T218" si="164">Q216+Q217</f>
        <v>6271.4502142022593</v>
      </c>
      <c r="R218" s="25">
        <f t="shared" si="164"/>
        <v>6209.9953214116231</v>
      </c>
      <c r="S218" s="25">
        <f t="shared" si="164"/>
        <v>6149.2605620370068</v>
      </c>
      <c r="T218" s="25">
        <f t="shared" si="164"/>
        <v>6089.2374974966606</v>
      </c>
    </row>
    <row r="219" spans="1:20" x14ac:dyDescent="0.25">
      <c r="A219" s="53" t="s">
        <v>206</v>
      </c>
      <c r="B219" s="63">
        <v>0.1996</v>
      </c>
      <c r="C219" s="38">
        <f>C80</f>
        <v>0.18099547511312217</v>
      </c>
      <c r="D219" s="58">
        <f>$D$80</f>
        <v>0.55535657179405185</v>
      </c>
      <c r="E219" s="58">
        <f>$E$80</f>
        <v>0.29495472186287192</v>
      </c>
      <c r="F219" s="38">
        <f>E219</f>
        <v>0.29495472186287192</v>
      </c>
      <c r="G219" s="38">
        <f t="shared" ref="G219:Q219" si="165">F219</f>
        <v>0.29495472186287192</v>
      </c>
      <c r="H219" s="38">
        <f t="shared" si="165"/>
        <v>0.29495472186287192</v>
      </c>
      <c r="I219" s="38">
        <f t="shared" si="165"/>
        <v>0.29495472186287192</v>
      </c>
      <c r="J219" s="38">
        <f t="shared" si="165"/>
        <v>0.29495472186287192</v>
      </c>
      <c r="K219" s="38">
        <f t="shared" si="165"/>
        <v>0.29495472186287192</v>
      </c>
      <c r="L219" s="38">
        <f t="shared" si="165"/>
        <v>0.29495472186287192</v>
      </c>
      <c r="M219" s="38">
        <f t="shared" si="165"/>
        <v>0.29495472186287192</v>
      </c>
      <c r="N219" s="38">
        <f t="shared" si="165"/>
        <v>0.29495472186287192</v>
      </c>
      <c r="O219" s="38">
        <f t="shared" si="165"/>
        <v>0.29495472186287192</v>
      </c>
      <c r="P219" s="38">
        <f t="shared" si="165"/>
        <v>0.29495472186287192</v>
      </c>
      <c r="Q219" s="38">
        <f t="shared" si="165"/>
        <v>0.29495472186287192</v>
      </c>
      <c r="R219" s="38">
        <f t="shared" ref="R219" si="166">Q219</f>
        <v>0.29495472186287192</v>
      </c>
      <c r="S219" s="38">
        <f t="shared" ref="S219" si="167">R219</f>
        <v>0.29495472186287192</v>
      </c>
      <c r="T219" s="38">
        <f t="shared" ref="T219" si="168">S219</f>
        <v>0.29495472186287192</v>
      </c>
    </row>
    <row r="220" spans="1:20" x14ac:dyDescent="0.25">
      <c r="A220" s="47" t="s">
        <v>205</v>
      </c>
      <c r="B220" s="45">
        <f>B221-B218</f>
        <v>960.09495252373836</v>
      </c>
      <c r="C220" s="25">
        <f t="shared" ref="C220:P220" si="169">C221-C218</f>
        <v>1600</v>
      </c>
      <c r="D220" s="45">
        <f t="shared" si="169"/>
        <v>8683.0000000000018</v>
      </c>
      <c r="E220" s="45">
        <f t="shared" si="169"/>
        <v>2963.9999999999982</v>
      </c>
      <c r="F220" s="25">
        <f t="shared" si="169"/>
        <v>2913.1782727330092</v>
      </c>
      <c r="G220" s="25">
        <f t="shared" si="169"/>
        <v>2886.7293853103802</v>
      </c>
      <c r="H220" s="25">
        <f t="shared" si="169"/>
        <v>2859.791709413822</v>
      </c>
      <c r="I220" s="25">
        <f t="shared" si="169"/>
        <v>2833.234202330319</v>
      </c>
      <c r="J220" s="25">
        <f t="shared" si="169"/>
        <v>2807.002554229437</v>
      </c>
      <c r="K220" s="25">
        <f t="shared" si="169"/>
        <v>2780.9881454503011</v>
      </c>
      <c r="L220" s="25">
        <f t="shared" si="169"/>
        <v>2755.0823563320382</v>
      </c>
      <c r="M220" s="25">
        <f t="shared" si="169"/>
        <v>2728.9593278920274</v>
      </c>
      <c r="N220" s="25">
        <f t="shared" si="169"/>
        <v>2702.7276797911454</v>
      </c>
      <c r="O220" s="25">
        <f t="shared" si="169"/>
        <v>2676.3331021989516</v>
      </c>
      <c r="P220" s="25">
        <f t="shared" si="169"/>
        <v>2649.6669754545755</v>
      </c>
      <c r="Q220" s="25">
        <f t="shared" ref="Q220:T220" si="170">Q221-Q218</f>
        <v>2623.6525666754405</v>
      </c>
      <c r="R220" s="25">
        <f t="shared" si="170"/>
        <v>2597.9429968474305</v>
      </c>
      <c r="S220" s="25">
        <f t="shared" si="170"/>
        <v>2572.534693843003</v>
      </c>
      <c r="T220" s="25">
        <f t="shared" si="170"/>
        <v>2547.4241273930984</v>
      </c>
    </row>
    <row r="221" spans="1:20" x14ac:dyDescent="0.25">
      <c r="A221" s="93" t="s">
        <v>281</v>
      </c>
      <c r="B221" s="59">
        <f>B218/(1-B219)*100/100</f>
        <v>4810.0949525237384</v>
      </c>
      <c r="C221" s="33">
        <f t="shared" ref="C221:P221" si="171">C218/(1-C219)*100/100</f>
        <v>8840</v>
      </c>
      <c r="D221" s="59">
        <f t="shared" si="171"/>
        <v>15635.000000000002</v>
      </c>
      <c r="E221" s="59">
        <f t="shared" si="171"/>
        <v>10048.999999999998</v>
      </c>
      <c r="F221" s="33">
        <f t="shared" si="171"/>
        <v>9876.6965123798982</v>
      </c>
      <c r="G221" s="33">
        <f t="shared" si="171"/>
        <v>9787.0255037058105</v>
      </c>
      <c r="H221" s="33">
        <f t="shared" si="171"/>
        <v>9695.6973306003729</v>
      </c>
      <c r="I221" s="33">
        <f t="shared" si="171"/>
        <v>9605.6580631637607</v>
      </c>
      <c r="J221" s="33">
        <f t="shared" si="171"/>
        <v>9516.7235720147164</v>
      </c>
      <c r="K221" s="33">
        <f t="shared" si="171"/>
        <v>9428.5255983907155</v>
      </c>
      <c r="L221" s="33">
        <f t="shared" si="171"/>
        <v>9340.6958835292353</v>
      </c>
      <c r="M221" s="33">
        <f t="shared" si="171"/>
        <v>9252.1296511427099</v>
      </c>
      <c r="N221" s="33">
        <f t="shared" si="171"/>
        <v>9163.1951599936656</v>
      </c>
      <c r="O221" s="33">
        <f t="shared" si="171"/>
        <v>9073.7082807008337</v>
      </c>
      <c r="P221" s="33">
        <f t="shared" si="171"/>
        <v>8983.3007545017008</v>
      </c>
      <c r="Q221" s="33">
        <f t="shared" ref="Q221:T221" si="172">Q218/(1-Q219)*100/100</f>
        <v>8895.1027808776998</v>
      </c>
      <c r="R221" s="33">
        <f t="shared" si="172"/>
        <v>8807.9383182590536</v>
      </c>
      <c r="S221" s="33">
        <f t="shared" si="172"/>
        <v>8721.7952558800098</v>
      </c>
      <c r="T221" s="33">
        <f t="shared" si="172"/>
        <v>8636.661624889759</v>
      </c>
    </row>
    <row r="222" spans="1:20" x14ac:dyDescent="0.25">
      <c r="A222" s="84" t="s">
        <v>254</v>
      </c>
      <c r="B222" s="59"/>
      <c r="C222" s="33"/>
      <c r="D222" s="86">
        <f>'Majapidamiste nõudlus asulates'!F98</f>
        <v>3160</v>
      </c>
      <c r="E222" s="86">
        <f>'Majapidamiste nõudlus asulates'!G98</f>
        <v>2930</v>
      </c>
      <c r="F222" s="86">
        <f>'Majapidamiste nõudlus asulates'!H98</f>
        <v>2898.9997403608982</v>
      </c>
      <c r="G222" s="86">
        <f>'Majapidamiste nõudlus asulates'!I98</f>
        <v>2868.1262711497689</v>
      </c>
      <c r="H222" s="86">
        <f>'Majapidamiste nõudlus asulates'!J98</f>
        <v>2836.6822450127656</v>
      </c>
      <c r="I222" s="86">
        <f>'Majapidamiste nõudlus asulates'!K98</f>
        <v>2805.6819853736638</v>
      </c>
      <c r="J222" s="86">
        <f>'Majapidamiste nõudlus asulates'!L98</f>
        <v>2775.0620970184773</v>
      </c>
      <c r="K222" s="86">
        <f>'Majapidamiste nõudlus asulates'!M98</f>
        <v>2744.6957895192349</v>
      </c>
      <c r="L222" s="86">
        <f>'Majapidamiste nõudlus asulates'!N98</f>
        <v>2714.4562724479642</v>
      </c>
      <c r="M222" s="86">
        <f>'Majapidamiste nõudlus asulates'!O98</f>
        <v>2683.9631745207503</v>
      </c>
      <c r="N222" s="86">
        <f>'Majapidamiste nõudlus asulates'!P98</f>
        <v>2653.3432861655638</v>
      </c>
      <c r="O222" s="86">
        <f>'Majapidamiste nõudlus asulates'!Q98</f>
        <v>2622.5332121684196</v>
      </c>
      <c r="P222" s="86">
        <f>'Majapidamiste nõudlus asulates'!R98</f>
        <v>2591.406162101347</v>
      </c>
      <c r="Q222" s="86">
        <f>'Majapidamiste nõudlus asulates'!S98</f>
        <v>2561.0398546021038</v>
      </c>
      <c r="R222" s="86">
        <f>'Majapidamiste nõudlus asulates'!T98</f>
        <v>2531.0293819560093</v>
      </c>
      <c r="S222" s="86">
        <f>'Majapidamiste nõudlus asulates'!U98</f>
        <v>2501.3705744614058</v>
      </c>
      <c r="T222" s="86">
        <f>'Majapidamiste nõudlus asulates'!V98</f>
        <v>2472.0593112775364</v>
      </c>
    </row>
    <row r="223" spans="1:20" x14ac:dyDescent="0.25">
      <c r="A223" s="84" t="s">
        <v>255</v>
      </c>
      <c r="B223" s="59"/>
      <c r="C223" s="33"/>
      <c r="D223" s="86">
        <v>886</v>
      </c>
      <c r="E223" s="86">
        <v>840</v>
      </c>
      <c r="F223" s="86">
        <v>840</v>
      </c>
      <c r="G223" s="86">
        <v>840</v>
      </c>
      <c r="H223" s="86">
        <v>840</v>
      </c>
      <c r="I223" s="86">
        <v>840</v>
      </c>
      <c r="J223" s="86">
        <v>840</v>
      </c>
      <c r="K223" s="86">
        <v>840</v>
      </c>
      <c r="L223" s="86">
        <v>840</v>
      </c>
      <c r="M223" s="86">
        <v>840</v>
      </c>
      <c r="N223" s="86">
        <v>840</v>
      </c>
      <c r="O223" s="86">
        <v>840</v>
      </c>
      <c r="P223" s="86">
        <v>840</v>
      </c>
      <c r="Q223" s="86">
        <v>840</v>
      </c>
      <c r="R223" s="86">
        <v>840</v>
      </c>
      <c r="S223" s="86">
        <v>840</v>
      </c>
      <c r="T223" s="86">
        <v>840</v>
      </c>
    </row>
    <row r="224" spans="1:20" x14ac:dyDescent="0.25">
      <c r="A224" s="84" t="s">
        <v>256</v>
      </c>
      <c r="B224" s="59"/>
      <c r="C224" s="33"/>
      <c r="D224" s="25">
        <f t="shared" ref="D224:P224" si="173">D222+D223</f>
        <v>4046</v>
      </c>
      <c r="E224" s="25">
        <f t="shared" si="173"/>
        <v>3770</v>
      </c>
      <c r="F224" s="25">
        <f t="shared" si="173"/>
        <v>3738.9997403608982</v>
      </c>
      <c r="G224" s="25">
        <f t="shared" si="173"/>
        <v>3708.1262711497689</v>
      </c>
      <c r="H224" s="25">
        <f t="shared" si="173"/>
        <v>3676.6822450127656</v>
      </c>
      <c r="I224" s="25">
        <f t="shared" si="173"/>
        <v>3645.6819853736638</v>
      </c>
      <c r="J224" s="25">
        <f t="shared" si="173"/>
        <v>3615.0620970184773</v>
      </c>
      <c r="K224" s="25">
        <f t="shared" si="173"/>
        <v>3584.6957895192349</v>
      </c>
      <c r="L224" s="25">
        <f t="shared" si="173"/>
        <v>3554.4562724479642</v>
      </c>
      <c r="M224" s="25">
        <f t="shared" si="173"/>
        <v>3523.9631745207503</v>
      </c>
      <c r="N224" s="25">
        <f t="shared" si="173"/>
        <v>3493.3432861655638</v>
      </c>
      <c r="O224" s="25">
        <f t="shared" si="173"/>
        <v>3462.5332121684196</v>
      </c>
      <c r="P224" s="25">
        <f t="shared" si="173"/>
        <v>3431.406162101347</v>
      </c>
      <c r="Q224" s="25">
        <f t="shared" ref="Q224:T224" si="174">Q222+Q223</f>
        <v>3401.0398546021038</v>
      </c>
      <c r="R224" s="25">
        <f t="shared" si="174"/>
        <v>3371.0293819560093</v>
      </c>
      <c r="S224" s="25">
        <f t="shared" si="174"/>
        <v>3341.3705744614058</v>
      </c>
      <c r="T224" s="25">
        <f t="shared" si="174"/>
        <v>3312.0593112775364</v>
      </c>
    </row>
    <row r="225" spans="1:20" x14ac:dyDescent="0.25">
      <c r="A225" s="53" t="s">
        <v>206</v>
      </c>
      <c r="B225" s="59"/>
      <c r="C225" s="33"/>
      <c r="D225" s="87">
        <f>D92</f>
        <v>0.33932070542129328</v>
      </c>
      <c r="E225" s="88">
        <f>E92</f>
        <v>8.317120622568093E-2</v>
      </c>
      <c r="F225" s="88">
        <f>E225</f>
        <v>8.317120622568093E-2</v>
      </c>
      <c r="G225" s="88">
        <f t="shared" ref="G225:Q225" si="175">F225</f>
        <v>8.317120622568093E-2</v>
      </c>
      <c r="H225" s="130">
        <f t="shared" si="175"/>
        <v>8.317120622568093E-2</v>
      </c>
      <c r="I225" s="130">
        <f t="shared" si="175"/>
        <v>8.317120622568093E-2</v>
      </c>
      <c r="J225" s="130">
        <f t="shared" si="175"/>
        <v>8.317120622568093E-2</v>
      </c>
      <c r="K225" s="130">
        <v>7.0000000000000007E-2</v>
      </c>
      <c r="L225" s="130">
        <f t="shared" si="175"/>
        <v>7.0000000000000007E-2</v>
      </c>
      <c r="M225" s="130">
        <f t="shared" si="175"/>
        <v>7.0000000000000007E-2</v>
      </c>
      <c r="N225" s="130">
        <f t="shared" si="175"/>
        <v>7.0000000000000007E-2</v>
      </c>
      <c r="O225" s="130">
        <f t="shared" si="175"/>
        <v>7.0000000000000007E-2</v>
      </c>
      <c r="P225" s="130">
        <f t="shared" si="175"/>
        <v>7.0000000000000007E-2</v>
      </c>
      <c r="Q225" s="130">
        <f t="shared" si="175"/>
        <v>7.0000000000000007E-2</v>
      </c>
      <c r="R225" s="130">
        <f t="shared" ref="R225" si="176">Q225</f>
        <v>7.0000000000000007E-2</v>
      </c>
      <c r="S225" s="130">
        <f t="shared" ref="S225" si="177">R225</f>
        <v>7.0000000000000007E-2</v>
      </c>
      <c r="T225" s="130">
        <f t="shared" ref="T225" si="178">S225</f>
        <v>7.0000000000000007E-2</v>
      </c>
    </row>
    <row r="226" spans="1:20" x14ac:dyDescent="0.25">
      <c r="A226" s="47" t="s">
        <v>205</v>
      </c>
      <c r="B226" s="59"/>
      <c r="C226" s="33"/>
      <c r="D226" s="25">
        <f t="shared" ref="D226:P226" si="179">D227-D224</f>
        <v>2077.9999999999991</v>
      </c>
      <c r="E226" s="25">
        <f t="shared" si="179"/>
        <v>342</v>
      </c>
      <c r="F226" s="25">
        <f t="shared" si="179"/>
        <v>339.18777485502051</v>
      </c>
      <c r="G226" s="25">
        <f t="shared" si="179"/>
        <v>336.38705165337387</v>
      </c>
      <c r="H226" s="109">
        <f t="shared" si="179"/>
        <v>333.53456970672869</v>
      </c>
      <c r="I226" s="109">
        <f t="shared" si="179"/>
        <v>330.7223445617492</v>
      </c>
      <c r="J226" s="109">
        <f t="shared" si="179"/>
        <v>327.94462524676874</v>
      </c>
      <c r="K226" s="109">
        <f t="shared" si="179"/>
        <v>269.81581211435196</v>
      </c>
      <c r="L226" s="109">
        <f t="shared" si="179"/>
        <v>267.53971943156739</v>
      </c>
      <c r="M226" s="109">
        <f t="shared" si="179"/>
        <v>265.24454001769118</v>
      </c>
      <c r="N226" s="109">
        <f t="shared" si="179"/>
        <v>262.93981723826846</v>
      </c>
      <c r="O226" s="109">
        <f t="shared" si="179"/>
        <v>260.62077941052621</v>
      </c>
      <c r="P226" s="109">
        <f t="shared" si="179"/>
        <v>258.27788316891883</v>
      </c>
      <c r="Q226" s="109">
        <f t="shared" ref="Q226:T226" si="180">Q227-Q224</f>
        <v>255.99224712058867</v>
      </c>
      <c r="R226" s="109">
        <f t="shared" si="180"/>
        <v>253.73339434077479</v>
      </c>
      <c r="S226" s="109">
        <f t="shared" si="180"/>
        <v>251.50101098096638</v>
      </c>
      <c r="T226" s="109">
        <f t="shared" si="180"/>
        <v>249.29478687035225</v>
      </c>
    </row>
    <row r="227" spans="1:20" x14ac:dyDescent="0.25">
      <c r="A227" s="93" t="s">
        <v>282</v>
      </c>
      <c r="B227" s="59"/>
      <c r="C227" s="33"/>
      <c r="D227" s="33">
        <f t="shared" ref="D227:P227" si="181">D224/(1-D225)*100/100</f>
        <v>6123.9999999999991</v>
      </c>
      <c r="E227" s="33">
        <f t="shared" si="181"/>
        <v>4112</v>
      </c>
      <c r="F227" s="33">
        <f t="shared" si="181"/>
        <v>4078.1875152159187</v>
      </c>
      <c r="G227" s="33">
        <f t="shared" si="181"/>
        <v>4044.5133228031427</v>
      </c>
      <c r="H227" s="114">
        <f t="shared" si="181"/>
        <v>4010.2168147194943</v>
      </c>
      <c r="I227" s="114">
        <f t="shared" si="181"/>
        <v>3976.404329935413</v>
      </c>
      <c r="J227" s="114">
        <f t="shared" si="181"/>
        <v>3943.006722265246</v>
      </c>
      <c r="K227" s="114">
        <f t="shared" si="181"/>
        <v>3854.5116016335869</v>
      </c>
      <c r="L227" s="114">
        <f t="shared" si="181"/>
        <v>3821.9959918795316</v>
      </c>
      <c r="M227" s="114">
        <f t="shared" si="181"/>
        <v>3789.2077145384415</v>
      </c>
      <c r="N227" s="114">
        <f t="shared" si="181"/>
        <v>3756.2831034038322</v>
      </c>
      <c r="O227" s="114">
        <f t="shared" si="181"/>
        <v>3723.1539915789458</v>
      </c>
      <c r="P227" s="114">
        <f t="shared" si="181"/>
        <v>3689.6840452702659</v>
      </c>
      <c r="Q227" s="114">
        <f t="shared" ref="Q227:T227" si="182">Q224/(1-Q225)*100/100</f>
        <v>3657.0321017226925</v>
      </c>
      <c r="R227" s="114">
        <f t="shared" si="182"/>
        <v>3624.7627762967841</v>
      </c>
      <c r="S227" s="114">
        <f t="shared" si="182"/>
        <v>3592.8715854423722</v>
      </c>
      <c r="T227" s="114">
        <f t="shared" si="182"/>
        <v>3561.3540981478886</v>
      </c>
    </row>
    <row r="228" spans="1:20" x14ac:dyDescent="0.25">
      <c r="A228" s="84" t="s">
        <v>257</v>
      </c>
      <c r="B228" s="59"/>
      <c r="C228" s="33"/>
      <c r="D228" s="86">
        <f>'Majapidamiste nõudlus asulates'!F99</f>
        <v>13541</v>
      </c>
      <c r="E228" s="86">
        <f>'Majapidamiste nõudlus asulates'!G99</f>
        <v>13179</v>
      </c>
      <c r="F228" s="86">
        <f>'Majapidamiste nõudlus asulates'!H99</f>
        <v>13057.5319</v>
      </c>
      <c r="G228" s="86">
        <f>'Majapidamiste nõudlus asulates'!I99</f>
        <v>12918.473140016182</v>
      </c>
      <c r="H228" s="131">
        <f>'Majapidamiste nõudlus asulates'!J99</f>
        <v>13405.213907533513</v>
      </c>
      <c r="I228" s="131">
        <f>'Majapidamiste nõudlus asulates'!K99</f>
        <v>13880.219383325681</v>
      </c>
      <c r="J228" s="131">
        <f>'Majapidamiste nõudlus asulates'!L99</f>
        <v>14548.363326042554</v>
      </c>
      <c r="K228" s="131">
        <f>'Majapidamiste nõudlus asulates'!M99</f>
        <v>14997.159827614863</v>
      </c>
      <c r="L228" s="131">
        <f>'Majapidamiste nõudlus asulates'!N99</f>
        <v>15433.223982361304</v>
      </c>
      <c r="M228" s="131">
        <f>'Majapidamiste nõudlus asulates'!O99</f>
        <v>15458.033334632291</v>
      </c>
      <c r="N228" s="131">
        <f>'Majapidamiste nõudlus asulates'!P99</f>
        <v>15281.680969074332</v>
      </c>
      <c r="O228" s="131">
        <f>'Majapidamiste nõudlus asulates'!Q99</f>
        <v>15104.233247208553</v>
      </c>
      <c r="P228" s="131">
        <f>'Majapidamiste nõudlus asulates'!R99</f>
        <v>14924.959931496425</v>
      </c>
      <c r="Q228" s="131">
        <f>'Majapidamiste nõudlus asulates'!S99</f>
        <v>14750.068041015546</v>
      </c>
      <c r="R228" s="131">
        <f>'Majapidamiste nõudlus asulates'!T99</f>
        <v>14577.225547886248</v>
      </c>
      <c r="S228" s="131">
        <f>'Majapidamiste nõudlus asulates'!U99</f>
        <v>14406.408437104204</v>
      </c>
      <c r="T228" s="131">
        <f>'Majapidamiste nõudlus asulates'!V99</f>
        <v>14237.592975074875</v>
      </c>
    </row>
    <row r="229" spans="1:20" x14ac:dyDescent="0.25">
      <c r="A229" s="84" t="s">
        <v>258</v>
      </c>
      <c r="B229" s="59"/>
      <c r="C229" s="33"/>
      <c r="D229" s="86">
        <v>2118</v>
      </c>
      <c r="E229" s="86">
        <v>2833</v>
      </c>
      <c r="F229" s="86">
        <v>2833</v>
      </c>
      <c r="G229" s="86">
        <v>2833</v>
      </c>
      <c r="H229" s="131">
        <v>2833</v>
      </c>
      <c r="I229" s="131">
        <v>2833</v>
      </c>
      <c r="J229" s="131">
        <v>2833</v>
      </c>
      <c r="K229" s="131">
        <v>2833</v>
      </c>
      <c r="L229" s="131">
        <v>2833</v>
      </c>
      <c r="M229" s="131">
        <v>2833</v>
      </c>
      <c r="N229" s="131">
        <v>2833</v>
      </c>
      <c r="O229" s="131">
        <v>2833</v>
      </c>
      <c r="P229" s="131">
        <v>2833</v>
      </c>
      <c r="Q229" s="131">
        <v>2833</v>
      </c>
      <c r="R229" s="131">
        <v>2833</v>
      </c>
      <c r="S229" s="131">
        <v>2833</v>
      </c>
      <c r="T229" s="131">
        <v>2833</v>
      </c>
    </row>
    <row r="230" spans="1:20" x14ac:dyDescent="0.25">
      <c r="A230" s="84" t="s">
        <v>259</v>
      </c>
      <c r="B230" s="59"/>
      <c r="C230" s="33"/>
      <c r="D230" s="86">
        <f>D228+D229</f>
        <v>15659</v>
      </c>
      <c r="E230" s="86">
        <f t="shared" ref="E230:P230" si="183">E228+E229</f>
        <v>16012</v>
      </c>
      <c r="F230" s="86">
        <f t="shared" si="183"/>
        <v>15890.5319</v>
      </c>
      <c r="G230" s="86">
        <f t="shared" si="183"/>
        <v>15751.473140016182</v>
      </c>
      <c r="H230" s="131">
        <f t="shared" si="183"/>
        <v>16238.213907533513</v>
      </c>
      <c r="I230" s="131">
        <f t="shared" si="183"/>
        <v>16713.219383325682</v>
      </c>
      <c r="J230" s="131">
        <f t="shared" si="183"/>
        <v>17381.363326042556</v>
      </c>
      <c r="K230" s="131">
        <f t="shared" si="183"/>
        <v>17830.159827614865</v>
      </c>
      <c r="L230" s="131">
        <f t="shared" si="183"/>
        <v>18266.223982361305</v>
      </c>
      <c r="M230" s="131">
        <f t="shared" si="183"/>
        <v>18291.033334632291</v>
      </c>
      <c r="N230" s="131">
        <f t="shared" si="183"/>
        <v>18114.680969074332</v>
      </c>
      <c r="O230" s="131">
        <f t="shared" si="183"/>
        <v>17937.233247208555</v>
      </c>
      <c r="P230" s="131">
        <f t="shared" si="183"/>
        <v>17757.959931496425</v>
      </c>
      <c r="Q230" s="131">
        <f t="shared" ref="Q230:T230" si="184">Q228+Q229</f>
        <v>17583.068041015547</v>
      </c>
      <c r="R230" s="131">
        <f t="shared" si="184"/>
        <v>17410.22554788625</v>
      </c>
      <c r="S230" s="131">
        <f t="shared" si="184"/>
        <v>17239.408437104204</v>
      </c>
      <c r="T230" s="131">
        <f t="shared" si="184"/>
        <v>17070.592975074876</v>
      </c>
    </row>
    <row r="231" spans="1:20" x14ac:dyDescent="0.25">
      <c r="A231" s="53" t="s">
        <v>206</v>
      </c>
      <c r="B231" s="59"/>
      <c r="C231" s="33"/>
      <c r="D231" s="87">
        <f>D98</f>
        <v>0.29517936715128057</v>
      </c>
      <c r="E231" s="87">
        <f>E98</f>
        <v>0.37202917875911834</v>
      </c>
      <c r="F231" s="107">
        <f>E231</f>
        <v>0.37202917875911834</v>
      </c>
      <c r="G231" s="92">
        <v>0.25</v>
      </c>
      <c r="H231" s="130">
        <v>0.1</v>
      </c>
      <c r="I231" s="130">
        <v>0.1</v>
      </c>
      <c r="J231" s="130">
        <v>0.1</v>
      </c>
      <c r="K231" s="130">
        <v>0.1</v>
      </c>
      <c r="L231" s="130">
        <v>0.1</v>
      </c>
      <c r="M231" s="130">
        <v>0.1</v>
      </c>
      <c r="N231" s="130">
        <v>0.1</v>
      </c>
      <c r="O231" s="130">
        <v>0.1</v>
      </c>
      <c r="P231" s="130">
        <v>0.1</v>
      </c>
      <c r="Q231" s="130">
        <v>0.1</v>
      </c>
      <c r="R231" s="130">
        <v>0.1</v>
      </c>
      <c r="S231" s="130">
        <v>0.1</v>
      </c>
      <c r="T231" s="130">
        <v>0.1</v>
      </c>
    </row>
    <row r="232" spans="1:20" x14ac:dyDescent="0.25">
      <c r="A232" s="47" t="s">
        <v>205</v>
      </c>
      <c r="B232" s="59"/>
      <c r="C232" s="33"/>
      <c r="D232" s="25">
        <f t="shared" ref="D232:P232" si="185">D233-D230</f>
        <v>6558</v>
      </c>
      <c r="E232" s="25">
        <f t="shared" si="185"/>
        <v>9486</v>
      </c>
      <c r="F232" s="25">
        <f t="shared" si="185"/>
        <v>9414.0385712840343</v>
      </c>
      <c r="G232" s="25">
        <f t="shared" si="185"/>
        <v>5250.4910466720594</v>
      </c>
      <c r="H232" s="109">
        <f t="shared" si="185"/>
        <v>1804.245989725945</v>
      </c>
      <c r="I232" s="109">
        <f t="shared" si="185"/>
        <v>1857.024375925077</v>
      </c>
      <c r="J232" s="109">
        <f t="shared" si="185"/>
        <v>1931.2625917825062</v>
      </c>
      <c r="K232" s="109">
        <f t="shared" si="185"/>
        <v>1981.1288697349846</v>
      </c>
      <c r="L232" s="109">
        <f t="shared" si="185"/>
        <v>2029.5804424845883</v>
      </c>
      <c r="M232" s="109">
        <f t="shared" si="185"/>
        <v>2032.3370371813653</v>
      </c>
      <c r="N232" s="109">
        <f t="shared" si="185"/>
        <v>2012.742329897148</v>
      </c>
      <c r="O232" s="109">
        <f t="shared" si="185"/>
        <v>1993.0259163565061</v>
      </c>
      <c r="P232" s="109">
        <f t="shared" si="185"/>
        <v>1973.1066590551563</v>
      </c>
      <c r="Q232" s="109">
        <f t="shared" ref="Q232:T232" si="186">Q233-Q230</f>
        <v>1953.6742267795053</v>
      </c>
      <c r="R232" s="109">
        <f t="shared" si="186"/>
        <v>1934.4695053206924</v>
      </c>
      <c r="S232" s="109">
        <f t="shared" si="186"/>
        <v>1915.4898263449104</v>
      </c>
      <c r="T232" s="109">
        <f t="shared" si="186"/>
        <v>1896.7325527860958</v>
      </c>
    </row>
    <row r="233" spans="1:20" x14ac:dyDescent="0.25">
      <c r="A233" s="93" t="s">
        <v>283</v>
      </c>
      <c r="B233" s="59"/>
      <c r="C233" s="33"/>
      <c r="D233" s="33">
        <f t="shared" ref="D233:P233" si="187">D230/(1-D231)*100/100</f>
        <v>22217</v>
      </c>
      <c r="E233" s="33">
        <f t="shared" si="187"/>
        <v>25498</v>
      </c>
      <c r="F233" s="33">
        <f t="shared" si="187"/>
        <v>25304.570471284034</v>
      </c>
      <c r="G233" s="33">
        <f t="shared" si="187"/>
        <v>21001.964186688241</v>
      </c>
      <c r="H233" s="114">
        <f t="shared" si="187"/>
        <v>18042.459897259458</v>
      </c>
      <c r="I233" s="114">
        <f t="shared" si="187"/>
        <v>18570.243759250759</v>
      </c>
      <c r="J233" s="114">
        <f t="shared" si="187"/>
        <v>19312.625917825062</v>
      </c>
      <c r="K233" s="114">
        <f t="shared" si="187"/>
        <v>19811.28869734985</v>
      </c>
      <c r="L233" s="114">
        <f t="shared" si="187"/>
        <v>20295.804424845894</v>
      </c>
      <c r="M233" s="114">
        <f t="shared" si="187"/>
        <v>20323.370371813657</v>
      </c>
      <c r="N233" s="114">
        <f t="shared" si="187"/>
        <v>20127.42329897148</v>
      </c>
      <c r="O233" s="114">
        <f t="shared" si="187"/>
        <v>19930.259163565061</v>
      </c>
      <c r="P233" s="114">
        <f t="shared" si="187"/>
        <v>19731.066590551582</v>
      </c>
      <c r="Q233" s="114">
        <f t="shared" ref="Q233:T233" si="188">Q230/(1-Q231)*100/100</f>
        <v>19536.742267795053</v>
      </c>
      <c r="R233" s="114">
        <f t="shared" si="188"/>
        <v>19344.695053206942</v>
      </c>
      <c r="S233" s="114">
        <f t="shared" si="188"/>
        <v>19154.898263449115</v>
      </c>
      <c r="T233" s="114">
        <f t="shared" si="188"/>
        <v>18967.325527860972</v>
      </c>
    </row>
    <row r="234" spans="1:20" x14ac:dyDescent="0.25">
      <c r="A234" s="84" t="s">
        <v>260</v>
      </c>
      <c r="B234" s="59"/>
      <c r="C234" s="33"/>
      <c r="D234" s="86">
        <f>'Majapidamiste nõudlus asulates'!F100</f>
        <v>6649</v>
      </c>
      <c r="E234" s="86">
        <f>'Majapidamiste nõudlus asulates'!G100</f>
        <v>6380</v>
      </c>
      <c r="F234" s="86">
        <f>'Majapidamiste nõudlus asulates'!H100</f>
        <v>6312.4977281578604</v>
      </c>
      <c r="G234" s="86">
        <f>'Majapidamiste nõudlus asulates'!I100</f>
        <v>6245.2715392271411</v>
      </c>
      <c r="H234" s="131">
        <f>'Majapidamiste nõudlus asulates'!J100</f>
        <v>6176.8029771950314</v>
      </c>
      <c r="I234" s="131">
        <f>'Majapidamiste nõudlus asulates'!K100</f>
        <v>6109.3007053528927</v>
      </c>
      <c r="J234" s="131">
        <f>'Majapidamiste nõudlus asulates'!L100</f>
        <v>6042.6266822450116</v>
      </c>
      <c r="K234" s="131">
        <f>'Majapidamiste nõudlus asulates'!M100</f>
        <v>5976.5048249599713</v>
      </c>
      <c r="L234" s="131">
        <f>'Majapidamiste nõudlus asulates'!N100</f>
        <v>5910.6590505863505</v>
      </c>
      <c r="M234" s="131">
        <f>'Majapidamiste nõudlus asulates'!O100</f>
        <v>5844.2611103898907</v>
      </c>
      <c r="N234" s="131">
        <f>'Majapidamiste nõudlus asulates'!P100</f>
        <v>5777.5870872820115</v>
      </c>
      <c r="O234" s="131">
        <f>'Majapidamiste nõudlus asulates'!Q100</f>
        <v>5710.4989398070002</v>
      </c>
      <c r="P234" s="131">
        <f>'Majapidamiste nõudlus asulates'!R100</f>
        <v>5642.7205850534419</v>
      </c>
      <c r="Q234" s="131">
        <f>'Majapidamiste nõudlus asulates'!S100</f>
        <v>5576.5987277684017</v>
      </c>
      <c r="R234" s="131">
        <f>'Majapidamiste nõudlus asulates'!T100</f>
        <v>5511.2516917676912</v>
      </c>
      <c r="S234" s="131">
        <f>'Majapidamiste nõudlus asulates'!U100</f>
        <v>5446.6703976326826</v>
      </c>
      <c r="T234" s="131">
        <f>'Majapidamiste nõudlus asulates'!V100</f>
        <v>5382.8458723381145</v>
      </c>
    </row>
    <row r="235" spans="1:20" x14ac:dyDescent="0.25">
      <c r="A235" s="84" t="s">
        <v>261</v>
      </c>
      <c r="B235" s="59"/>
      <c r="C235" s="33"/>
      <c r="D235" s="86">
        <v>545</v>
      </c>
      <c r="E235" s="86">
        <v>597</v>
      </c>
      <c r="F235" s="86">
        <f>E235</f>
        <v>597</v>
      </c>
      <c r="G235" s="86">
        <f t="shared" ref="G235:Q235" si="189">F235</f>
        <v>597</v>
      </c>
      <c r="H235" s="131">
        <f t="shared" si="189"/>
        <v>597</v>
      </c>
      <c r="I235" s="131">
        <f t="shared" si="189"/>
        <v>597</v>
      </c>
      <c r="J235" s="131">
        <f t="shared" si="189"/>
        <v>597</v>
      </c>
      <c r="K235" s="131">
        <f t="shared" si="189"/>
        <v>597</v>
      </c>
      <c r="L235" s="131">
        <f t="shared" si="189"/>
        <v>597</v>
      </c>
      <c r="M235" s="131">
        <f t="shared" si="189"/>
        <v>597</v>
      </c>
      <c r="N235" s="131">
        <f t="shared" si="189"/>
        <v>597</v>
      </c>
      <c r="O235" s="131">
        <f t="shared" si="189"/>
        <v>597</v>
      </c>
      <c r="P235" s="131">
        <f t="shared" si="189"/>
        <v>597</v>
      </c>
      <c r="Q235" s="131">
        <f t="shared" si="189"/>
        <v>597</v>
      </c>
      <c r="R235" s="131">
        <f t="shared" ref="R235" si="190">Q235</f>
        <v>597</v>
      </c>
      <c r="S235" s="131">
        <f t="shared" ref="S235" si="191">R235</f>
        <v>597</v>
      </c>
      <c r="T235" s="131">
        <f t="shared" ref="T235" si="192">S235</f>
        <v>597</v>
      </c>
    </row>
    <row r="236" spans="1:20" x14ac:dyDescent="0.25">
      <c r="A236" s="84" t="s">
        <v>262</v>
      </c>
      <c r="B236" s="59"/>
      <c r="C236" s="33"/>
      <c r="D236" s="86">
        <f>D234+D235</f>
        <v>7194</v>
      </c>
      <c r="E236" s="86">
        <f t="shared" ref="E236:P236" si="193">E234+E235</f>
        <v>6977</v>
      </c>
      <c r="F236" s="86">
        <f t="shared" si="193"/>
        <v>6909.4977281578604</v>
      </c>
      <c r="G236" s="86">
        <f t="shared" si="193"/>
        <v>6842.2715392271411</v>
      </c>
      <c r="H236" s="131">
        <f t="shared" si="193"/>
        <v>6773.8029771950314</v>
      </c>
      <c r="I236" s="131">
        <f t="shared" si="193"/>
        <v>6706.3007053528927</v>
      </c>
      <c r="J236" s="131">
        <f t="shared" si="193"/>
        <v>6639.6266822450116</v>
      </c>
      <c r="K236" s="131">
        <f t="shared" si="193"/>
        <v>6573.5048249599713</v>
      </c>
      <c r="L236" s="131">
        <f t="shared" si="193"/>
        <v>6507.6590505863505</v>
      </c>
      <c r="M236" s="131">
        <f t="shared" si="193"/>
        <v>6441.2611103898907</v>
      </c>
      <c r="N236" s="131">
        <f t="shared" si="193"/>
        <v>6374.5870872820115</v>
      </c>
      <c r="O236" s="131">
        <f t="shared" si="193"/>
        <v>6307.4989398070002</v>
      </c>
      <c r="P236" s="131">
        <f t="shared" si="193"/>
        <v>6239.7205850534419</v>
      </c>
      <c r="Q236" s="131">
        <f t="shared" ref="Q236:T236" si="194">Q234+Q235</f>
        <v>6173.5987277684017</v>
      </c>
      <c r="R236" s="131">
        <f t="shared" si="194"/>
        <v>6108.2516917676912</v>
      </c>
      <c r="S236" s="131">
        <f t="shared" si="194"/>
        <v>6043.6703976326826</v>
      </c>
      <c r="T236" s="131">
        <f t="shared" si="194"/>
        <v>5979.8458723381145</v>
      </c>
    </row>
    <row r="237" spans="1:20" x14ac:dyDescent="0.25">
      <c r="A237" s="53" t="s">
        <v>206</v>
      </c>
      <c r="B237" s="59"/>
      <c r="C237" s="33"/>
      <c r="D237" s="87">
        <f>D104</f>
        <v>0.41459842135242903</v>
      </c>
      <c r="E237" s="87">
        <f>E104</f>
        <v>6.4995979630125975E-2</v>
      </c>
      <c r="F237" s="88">
        <v>0.08</v>
      </c>
      <c r="G237" s="88">
        <f>F237</f>
        <v>0.08</v>
      </c>
      <c r="H237" s="130">
        <f t="shared" ref="H237:Q237" si="195">(F237+G237)/2</f>
        <v>0.08</v>
      </c>
      <c r="I237" s="130">
        <f t="shared" si="195"/>
        <v>0.08</v>
      </c>
      <c r="J237" s="130">
        <f t="shared" si="195"/>
        <v>0.08</v>
      </c>
      <c r="K237" s="130">
        <f t="shared" si="195"/>
        <v>0.08</v>
      </c>
      <c r="L237" s="130">
        <f t="shared" si="195"/>
        <v>0.08</v>
      </c>
      <c r="M237" s="130">
        <f t="shared" si="195"/>
        <v>0.08</v>
      </c>
      <c r="N237" s="130">
        <f t="shared" si="195"/>
        <v>0.08</v>
      </c>
      <c r="O237" s="130">
        <f t="shared" si="195"/>
        <v>0.08</v>
      </c>
      <c r="P237" s="130">
        <f t="shared" si="195"/>
        <v>0.08</v>
      </c>
      <c r="Q237" s="130">
        <f t="shared" si="195"/>
        <v>0.08</v>
      </c>
      <c r="R237" s="130">
        <f t="shared" ref="R237" si="196">(P237+Q237)/2</f>
        <v>0.08</v>
      </c>
      <c r="S237" s="130">
        <f t="shared" ref="S237" si="197">(Q237+R237)/2</f>
        <v>0.08</v>
      </c>
      <c r="T237" s="130">
        <f t="shared" ref="T237" si="198">(R237+S237)/2</f>
        <v>0.08</v>
      </c>
    </row>
    <row r="238" spans="1:20" x14ac:dyDescent="0.25">
      <c r="A238" s="47" t="s">
        <v>205</v>
      </c>
      <c r="B238" s="59"/>
      <c r="C238" s="33"/>
      <c r="D238" s="25">
        <f t="shared" ref="D238:P238" si="199">D239-D236</f>
        <v>5095</v>
      </c>
      <c r="E238" s="25">
        <f t="shared" si="199"/>
        <v>485</v>
      </c>
      <c r="F238" s="25">
        <f t="shared" si="199"/>
        <v>600.82588940503138</v>
      </c>
      <c r="G238" s="25">
        <f t="shared" si="199"/>
        <v>594.98013384583828</v>
      </c>
      <c r="H238" s="109">
        <f t="shared" si="199"/>
        <v>589.02634584304633</v>
      </c>
      <c r="I238" s="109">
        <f t="shared" si="199"/>
        <v>583.1565830741647</v>
      </c>
      <c r="J238" s="109">
        <f t="shared" si="199"/>
        <v>577.35884193434867</v>
      </c>
      <c r="K238" s="109">
        <f t="shared" si="199"/>
        <v>571.60911521391063</v>
      </c>
      <c r="L238" s="109">
        <f t="shared" si="199"/>
        <v>565.8833957031602</v>
      </c>
      <c r="M238" s="109">
        <f t="shared" si="199"/>
        <v>560.10966177303271</v>
      </c>
      <c r="N238" s="109">
        <f t="shared" si="199"/>
        <v>554.31192063321942</v>
      </c>
      <c r="O238" s="109">
        <f t="shared" si="199"/>
        <v>548.47816867886922</v>
      </c>
      <c r="P238" s="109">
        <f t="shared" si="199"/>
        <v>542.58439870029906</v>
      </c>
      <c r="Q238" s="109">
        <f t="shared" ref="Q238:T238" si="200">Q239-Q236</f>
        <v>536.83467197986192</v>
      </c>
      <c r="R238" s="109">
        <f t="shared" si="200"/>
        <v>531.15232102327718</v>
      </c>
      <c r="S238" s="109">
        <f t="shared" si="200"/>
        <v>525.53655631588481</v>
      </c>
      <c r="T238" s="109">
        <f t="shared" si="200"/>
        <v>519.98659759461771</v>
      </c>
    </row>
    <row r="239" spans="1:20" x14ac:dyDescent="0.25">
      <c r="A239" s="93" t="s">
        <v>327</v>
      </c>
      <c r="B239" s="59"/>
      <c r="C239" s="33"/>
      <c r="D239" s="59">
        <f t="shared" ref="D239:P239" si="201">D236/(1-D237)*100/100</f>
        <v>12289</v>
      </c>
      <c r="E239" s="33">
        <f t="shared" si="201"/>
        <v>7462</v>
      </c>
      <c r="F239" s="33">
        <f t="shared" si="201"/>
        <v>7510.3236175628917</v>
      </c>
      <c r="G239" s="33">
        <f t="shared" si="201"/>
        <v>7437.2516730729794</v>
      </c>
      <c r="H239" s="114">
        <f t="shared" si="201"/>
        <v>7362.8293230380777</v>
      </c>
      <c r="I239" s="114">
        <f t="shared" si="201"/>
        <v>7289.4572884270574</v>
      </c>
      <c r="J239" s="114">
        <f t="shared" si="201"/>
        <v>7216.9855241793603</v>
      </c>
      <c r="K239" s="114">
        <f t="shared" si="201"/>
        <v>7145.1139401738819</v>
      </c>
      <c r="L239" s="114">
        <f t="shared" si="201"/>
        <v>7073.5424462895107</v>
      </c>
      <c r="M239" s="114">
        <f t="shared" si="201"/>
        <v>7001.3707721629235</v>
      </c>
      <c r="N239" s="114">
        <f t="shared" si="201"/>
        <v>6928.8990079152309</v>
      </c>
      <c r="O239" s="114">
        <f t="shared" si="201"/>
        <v>6855.9771084858694</v>
      </c>
      <c r="P239" s="114">
        <f t="shared" si="201"/>
        <v>6782.304983753741</v>
      </c>
      <c r="Q239" s="114">
        <f t="shared" ref="Q239:T239" si="202">Q236/(1-Q237)*100/100</f>
        <v>6710.4333997482636</v>
      </c>
      <c r="R239" s="114">
        <f t="shared" si="202"/>
        <v>6639.4040127909684</v>
      </c>
      <c r="S239" s="114">
        <f t="shared" si="202"/>
        <v>6569.2069539485674</v>
      </c>
      <c r="T239" s="114">
        <f t="shared" si="202"/>
        <v>6499.8324699327322</v>
      </c>
    </row>
    <row r="240" spans="1:20" x14ac:dyDescent="0.25">
      <c r="A240" s="84" t="s">
        <v>263</v>
      </c>
      <c r="B240" s="59"/>
      <c r="C240" s="33"/>
      <c r="D240" s="86">
        <f>'Majapidamiste nõudlus asulates'!F101</f>
        <v>3935</v>
      </c>
      <c r="E240" s="86">
        <f>'Majapidamiste nõudlus asulates'!G101</f>
        <v>3792</v>
      </c>
      <c r="F240" s="86">
        <f>'Majapidamiste nõudlus asulates'!H101</f>
        <v>3751.8795274568342</v>
      </c>
      <c r="G240" s="86">
        <f>'Majapidamiste nõudlus asulates'!I101</f>
        <v>3711.9231468259113</v>
      </c>
      <c r="H240" s="86">
        <f>'Majapidamiste nõudlus asulates'!J101</f>
        <v>3671.2283525898997</v>
      </c>
      <c r="I240" s="86">
        <f>'Majapidamiste nõudlus asulates'!K101</f>
        <v>3631.1078800467344</v>
      </c>
      <c r="J240" s="86">
        <f>'Majapidamiste nõudlus asulates'!L101</f>
        <v>3591.4796832402958</v>
      </c>
      <c r="K240" s="86">
        <f>'Majapidamiste nõudlus asulates'!M101</f>
        <v>3552.179670258341</v>
      </c>
      <c r="L240" s="86">
        <f>'Majapidamiste nõudlus asulates'!N101</f>
        <v>3513.0437491886278</v>
      </c>
      <c r="M240" s="86">
        <f>'Majapidamiste nõudlus asulates'!O101</f>
        <v>3473.5796442944302</v>
      </c>
      <c r="N240" s="86">
        <f>'Majapidamiste nõudlus asulates'!P101</f>
        <v>3433.9514474879911</v>
      </c>
      <c r="O240" s="86">
        <f>'Majapidamiste nõudlus asulates'!Q101</f>
        <v>3394.0771128131892</v>
      </c>
      <c r="P240" s="86">
        <f>'Majapidamiste nõudlus asulates'!R101</f>
        <v>3353.7925483577819</v>
      </c>
      <c r="Q240" s="86">
        <f>'Majapidamiste nõudlus asulates'!S101</f>
        <v>3314.4925353758272</v>
      </c>
      <c r="R240" s="86">
        <f>'Majapidamiste nõudlus asulates'!T101</f>
        <v>3275.6530431321448</v>
      </c>
      <c r="S240" s="86">
        <f>'Majapidamiste nõudlus asulates'!U101</f>
        <v>3237.2686752073869</v>
      </c>
      <c r="T240" s="86">
        <f>'Majapidamiste nõudlus asulates'!V101</f>
        <v>3199.334098417889</v>
      </c>
    </row>
    <row r="241" spans="1:21" x14ac:dyDescent="0.25">
      <c r="A241" s="84" t="s">
        <v>265</v>
      </c>
      <c r="B241" s="59"/>
      <c r="C241" s="33"/>
      <c r="D241" s="86">
        <v>241</v>
      </c>
      <c r="E241" s="86">
        <v>146</v>
      </c>
      <c r="F241" s="86">
        <f>E241</f>
        <v>146</v>
      </c>
      <c r="G241" s="86">
        <f t="shared" ref="G241:Q241" si="203">F241</f>
        <v>146</v>
      </c>
      <c r="H241" s="86">
        <f t="shared" si="203"/>
        <v>146</v>
      </c>
      <c r="I241" s="86">
        <f t="shared" si="203"/>
        <v>146</v>
      </c>
      <c r="J241" s="86">
        <f t="shared" si="203"/>
        <v>146</v>
      </c>
      <c r="K241" s="86">
        <f t="shared" si="203"/>
        <v>146</v>
      </c>
      <c r="L241" s="86">
        <f t="shared" si="203"/>
        <v>146</v>
      </c>
      <c r="M241" s="86">
        <f t="shared" si="203"/>
        <v>146</v>
      </c>
      <c r="N241" s="86">
        <f t="shared" si="203"/>
        <v>146</v>
      </c>
      <c r="O241" s="86">
        <f t="shared" si="203"/>
        <v>146</v>
      </c>
      <c r="P241" s="86">
        <f t="shared" si="203"/>
        <v>146</v>
      </c>
      <c r="Q241" s="86">
        <f t="shared" si="203"/>
        <v>146</v>
      </c>
      <c r="R241" s="86">
        <f t="shared" ref="R241" si="204">Q241</f>
        <v>146</v>
      </c>
      <c r="S241" s="86">
        <f t="shared" ref="S241" si="205">R241</f>
        <v>146</v>
      </c>
      <c r="T241" s="86">
        <f t="shared" ref="T241" si="206">S241</f>
        <v>146</v>
      </c>
    </row>
    <row r="242" spans="1:21" x14ac:dyDescent="0.25">
      <c r="A242" s="84" t="s">
        <v>264</v>
      </c>
      <c r="B242" s="59"/>
      <c r="C242" s="33"/>
      <c r="D242" s="86">
        <f>D240+D241</f>
        <v>4176</v>
      </c>
      <c r="E242" s="86">
        <f t="shared" ref="E242:P242" si="207">E240+E241</f>
        <v>3938</v>
      </c>
      <c r="F242" s="86">
        <f t="shared" si="207"/>
        <v>3897.8795274568342</v>
      </c>
      <c r="G242" s="86">
        <f t="shared" si="207"/>
        <v>3857.9231468259113</v>
      </c>
      <c r="H242" s="86">
        <f t="shared" si="207"/>
        <v>3817.2283525898997</v>
      </c>
      <c r="I242" s="86">
        <f t="shared" si="207"/>
        <v>3777.1078800467344</v>
      </c>
      <c r="J242" s="86">
        <f t="shared" si="207"/>
        <v>3737.4796832402958</v>
      </c>
      <c r="K242" s="86">
        <f t="shared" si="207"/>
        <v>3698.179670258341</v>
      </c>
      <c r="L242" s="86">
        <f t="shared" si="207"/>
        <v>3659.0437491886278</v>
      </c>
      <c r="M242" s="86">
        <f t="shared" si="207"/>
        <v>3619.5796442944302</v>
      </c>
      <c r="N242" s="86">
        <f t="shared" si="207"/>
        <v>3579.9514474879911</v>
      </c>
      <c r="O242" s="86">
        <f t="shared" si="207"/>
        <v>3540.0771128131892</v>
      </c>
      <c r="P242" s="86">
        <f t="shared" si="207"/>
        <v>3499.7925483577819</v>
      </c>
      <c r="Q242" s="86">
        <f t="shared" ref="Q242:T242" si="208">Q240+Q241</f>
        <v>3460.4925353758272</v>
      </c>
      <c r="R242" s="86">
        <f t="shared" si="208"/>
        <v>3421.6530431321448</v>
      </c>
      <c r="S242" s="86">
        <f t="shared" si="208"/>
        <v>3383.2686752073869</v>
      </c>
      <c r="T242" s="86">
        <f t="shared" si="208"/>
        <v>3345.334098417889</v>
      </c>
    </row>
    <row r="243" spans="1:21" x14ac:dyDescent="0.25">
      <c r="A243" s="53" t="s">
        <v>206</v>
      </c>
      <c r="B243" s="59"/>
      <c r="C243" s="33"/>
      <c r="D243" s="87">
        <f>D110</f>
        <v>0.23023041474654377</v>
      </c>
      <c r="E243" s="87">
        <f t="shared" ref="E243" si="209">E110</f>
        <v>0.20844221105527638</v>
      </c>
      <c r="F243" s="88">
        <v>0.08</v>
      </c>
      <c r="G243" s="88">
        <f>F243</f>
        <v>0.08</v>
      </c>
      <c r="H243" s="130">
        <f t="shared" ref="H243:Q243" si="210">(F243+G243)/2</f>
        <v>0.08</v>
      </c>
      <c r="I243" s="130">
        <f t="shared" si="210"/>
        <v>0.08</v>
      </c>
      <c r="J243" s="130">
        <f t="shared" si="210"/>
        <v>0.08</v>
      </c>
      <c r="K243" s="130">
        <f t="shared" si="210"/>
        <v>0.08</v>
      </c>
      <c r="L243" s="130">
        <f t="shared" si="210"/>
        <v>0.08</v>
      </c>
      <c r="M243" s="130">
        <f t="shared" si="210"/>
        <v>0.08</v>
      </c>
      <c r="N243" s="130">
        <f t="shared" si="210"/>
        <v>0.08</v>
      </c>
      <c r="O243" s="130">
        <f t="shared" si="210"/>
        <v>0.08</v>
      </c>
      <c r="P243" s="130">
        <f t="shared" si="210"/>
        <v>0.08</v>
      </c>
      <c r="Q243" s="130">
        <f t="shared" si="210"/>
        <v>0.08</v>
      </c>
      <c r="R243" s="130">
        <f t="shared" ref="R243" si="211">(P243+Q243)/2</f>
        <v>0.08</v>
      </c>
      <c r="S243" s="130">
        <f t="shared" ref="S243" si="212">(Q243+R243)/2</f>
        <v>0.08</v>
      </c>
      <c r="T243" s="130">
        <f t="shared" ref="T243" si="213">(R243+S243)/2</f>
        <v>0.08</v>
      </c>
    </row>
    <row r="244" spans="1:21" x14ac:dyDescent="0.25">
      <c r="A244" s="47" t="s">
        <v>205</v>
      </c>
      <c r="B244" s="59"/>
      <c r="C244" s="33"/>
      <c r="D244" s="25">
        <f t="shared" ref="D244:P244" si="214">D245-D242</f>
        <v>1248.9999999999991</v>
      </c>
      <c r="E244" s="25">
        <f t="shared" si="214"/>
        <v>1037</v>
      </c>
      <c r="F244" s="25">
        <f t="shared" si="214"/>
        <v>338.94604586581181</v>
      </c>
      <c r="G244" s="25">
        <f t="shared" si="214"/>
        <v>335.47157798486205</v>
      </c>
      <c r="H244" s="109">
        <f t="shared" si="214"/>
        <v>331.93290022520841</v>
      </c>
      <c r="I244" s="109">
        <f t="shared" si="214"/>
        <v>328.44416348232471</v>
      </c>
      <c r="J244" s="109">
        <f t="shared" si="214"/>
        <v>324.99823332524284</v>
      </c>
      <c r="K244" s="109">
        <f t="shared" si="214"/>
        <v>321.58084089202976</v>
      </c>
      <c r="L244" s="109">
        <f t="shared" si="214"/>
        <v>318.17771732075016</v>
      </c>
      <c r="M244" s="109">
        <f t="shared" si="214"/>
        <v>314.74605602560223</v>
      </c>
      <c r="N244" s="109">
        <f t="shared" si="214"/>
        <v>311.30012586852035</v>
      </c>
      <c r="O244" s="109">
        <f t="shared" si="214"/>
        <v>307.83279241853779</v>
      </c>
      <c r="P244" s="109">
        <f t="shared" si="214"/>
        <v>304.32978681372015</v>
      </c>
      <c r="Q244" s="109">
        <f t="shared" ref="Q244:T244" si="215">Q245-Q242</f>
        <v>300.91239438050661</v>
      </c>
      <c r="R244" s="109">
        <f t="shared" si="215"/>
        <v>297.53504722888192</v>
      </c>
      <c r="S244" s="109">
        <f t="shared" si="215"/>
        <v>294.19727610499012</v>
      </c>
      <c r="T244" s="109">
        <f t="shared" si="215"/>
        <v>290.8986172537293</v>
      </c>
    </row>
    <row r="245" spans="1:21" x14ac:dyDescent="0.25">
      <c r="A245" s="93" t="s">
        <v>284</v>
      </c>
      <c r="B245" s="59"/>
      <c r="C245" s="33"/>
      <c r="D245" s="59">
        <f t="shared" ref="D245:P245" si="216">D242/(1-D243)*100/100</f>
        <v>5424.9999999999991</v>
      </c>
      <c r="E245" s="59">
        <f t="shared" si="216"/>
        <v>4975</v>
      </c>
      <c r="F245" s="59">
        <f t="shared" si="216"/>
        <v>4236.8255733226461</v>
      </c>
      <c r="G245" s="59">
        <f t="shared" si="216"/>
        <v>4193.3947248107734</v>
      </c>
      <c r="H245" s="114">
        <f t="shared" si="216"/>
        <v>4149.1612528151081</v>
      </c>
      <c r="I245" s="114">
        <f t="shared" si="216"/>
        <v>4105.5520435290591</v>
      </c>
      <c r="J245" s="114">
        <f t="shared" si="216"/>
        <v>4062.4779165655386</v>
      </c>
      <c r="K245" s="114">
        <f t="shared" si="216"/>
        <v>4019.7605111503708</v>
      </c>
      <c r="L245" s="114">
        <f t="shared" si="216"/>
        <v>3977.2214665093779</v>
      </c>
      <c r="M245" s="114">
        <f t="shared" si="216"/>
        <v>3934.3257003200324</v>
      </c>
      <c r="N245" s="114">
        <f t="shared" si="216"/>
        <v>3891.2515733565115</v>
      </c>
      <c r="O245" s="114">
        <f t="shared" si="216"/>
        <v>3847.909905231727</v>
      </c>
      <c r="P245" s="114">
        <f t="shared" si="216"/>
        <v>3804.1223351715021</v>
      </c>
      <c r="Q245" s="114">
        <f t="shared" ref="Q245:T245" si="217">Q242/(1-Q243)*100/100</f>
        <v>3761.4049297563338</v>
      </c>
      <c r="R245" s="114">
        <f t="shared" si="217"/>
        <v>3719.1880903610268</v>
      </c>
      <c r="S245" s="114">
        <f t="shared" si="217"/>
        <v>3677.465951312377</v>
      </c>
      <c r="T245" s="114">
        <f t="shared" si="217"/>
        <v>3636.2327156716183</v>
      </c>
      <c r="U245">
        <f>42*0.068*365</f>
        <v>1042.44</v>
      </c>
    </row>
    <row r="246" spans="1:21" x14ac:dyDescent="0.25">
      <c r="A246" s="48" t="s">
        <v>194</v>
      </c>
      <c r="B246" s="53">
        <v>0</v>
      </c>
      <c r="C246" s="36">
        <f>'Majapidamiste nõudlus asulates'!E102</f>
        <v>710</v>
      </c>
      <c r="D246" s="36">
        <f>'Majapidamiste nõudlus asulates'!F102</f>
        <v>785</v>
      </c>
      <c r="E246" s="36">
        <f>'Majapidamiste nõudlus asulates'!G102</f>
        <v>791</v>
      </c>
      <c r="F246" s="36">
        <f>'Majapidamiste nõudlus asulates'!H102</f>
        <v>581.38499999999999</v>
      </c>
      <c r="G246" s="36">
        <f>'Majapidamiste nõudlus asulates'!I102</f>
        <v>575.19342583480943</v>
      </c>
      <c r="H246" s="132">
        <f>'Majapidamiste nõudlus asulates'!J102</f>
        <v>568.88742832775699</v>
      </c>
      <c r="I246" s="132">
        <f>'Majapidamiste nõudlus asulates'!K102</f>
        <v>562.67042675326365</v>
      </c>
      <c r="J246" s="132">
        <f>'Majapidamiste nõudlus asulates'!L102</f>
        <v>556.52970740667831</v>
      </c>
      <c r="K246" s="132">
        <f>'Majapidamiste nõudlus asulates'!M102</f>
        <v>550.43984287869841</v>
      </c>
      <c r="L246" s="132">
        <f>'Majapidamiste nõudlus asulates'!N102</f>
        <v>544.37540576002095</v>
      </c>
      <c r="M246" s="132">
        <f>'Majapidamiste nõudlus asulates'!O102</f>
        <v>538.26011382273828</v>
      </c>
      <c r="N246" s="132">
        <f>'Majapidamiste nõudlus asulates'!P102</f>
        <v>532.11939447615282</v>
      </c>
      <c r="O246" s="132">
        <f>'Majapidamiste nõudlus asulates'!Q102</f>
        <v>525.94053401561348</v>
      </c>
      <c r="P246" s="132">
        <f>'Majapidamiste nõudlus asulates'!R102</f>
        <v>519.69810503181782</v>
      </c>
      <c r="Q246" s="132">
        <f>'Majapidamiste nõudlus asulates'!S102</f>
        <v>513.60824050383769</v>
      </c>
      <c r="R246" s="132">
        <f>'Majapidamiste nõudlus asulates'!T102</f>
        <v>507.58973750211698</v>
      </c>
      <c r="S246" s="132">
        <f>'Majapidamiste nõudlus asulates'!U102</f>
        <v>501.64175980650549</v>
      </c>
      <c r="T246" s="132">
        <f>'Majapidamiste nõudlus asulates'!V102</f>
        <v>495.76348099574847</v>
      </c>
    </row>
    <row r="247" spans="1:21" x14ac:dyDescent="0.25">
      <c r="A247" s="48" t="s">
        <v>195</v>
      </c>
      <c r="B247" s="53">
        <v>0</v>
      </c>
      <c r="C247" s="21">
        <v>0</v>
      </c>
      <c r="D247" s="21">
        <v>0</v>
      </c>
      <c r="E247" s="21">
        <v>0</v>
      </c>
      <c r="F247" s="21">
        <v>0</v>
      </c>
      <c r="G247" s="21">
        <v>0</v>
      </c>
      <c r="H247" s="23">
        <v>0</v>
      </c>
      <c r="I247" s="23">
        <v>0</v>
      </c>
      <c r="J247" s="23">
        <v>397</v>
      </c>
      <c r="K247" s="23">
        <v>744</v>
      </c>
      <c r="L247" s="23">
        <v>1042</v>
      </c>
      <c r="M247" s="23">
        <v>1042</v>
      </c>
      <c r="N247" s="23">
        <v>1042</v>
      </c>
      <c r="O247" s="23">
        <v>1042</v>
      </c>
      <c r="P247" s="23">
        <v>1042</v>
      </c>
      <c r="Q247" s="23">
        <v>1042</v>
      </c>
      <c r="R247" s="23">
        <v>1042</v>
      </c>
      <c r="S247" s="23">
        <v>1042</v>
      </c>
      <c r="T247" s="23">
        <v>1042</v>
      </c>
    </row>
    <row r="248" spans="1:21" x14ac:dyDescent="0.25">
      <c r="A248" s="52" t="s">
        <v>220</v>
      </c>
      <c r="B248" s="53">
        <v>0</v>
      </c>
      <c r="C248" s="36">
        <f>C246+C247</f>
        <v>710</v>
      </c>
      <c r="D248" s="36">
        <f t="shared" ref="D248:P248" si="218">D246+D247</f>
        <v>785</v>
      </c>
      <c r="E248" s="36">
        <f t="shared" si="218"/>
        <v>791</v>
      </c>
      <c r="F248" s="36">
        <f t="shared" si="218"/>
        <v>581.38499999999999</v>
      </c>
      <c r="G248" s="36">
        <f t="shared" si="218"/>
        <v>575.19342583480943</v>
      </c>
      <c r="H248" s="132">
        <f t="shared" si="218"/>
        <v>568.88742832775699</v>
      </c>
      <c r="I248" s="132">
        <f t="shared" si="218"/>
        <v>562.67042675326365</v>
      </c>
      <c r="J248" s="132">
        <f t="shared" si="218"/>
        <v>953.52970740667831</v>
      </c>
      <c r="K248" s="132">
        <f t="shared" si="218"/>
        <v>1294.4398428786985</v>
      </c>
      <c r="L248" s="132">
        <f t="shared" si="218"/>
        <v>1586.3754057600208</v>
      </c>
      <c r="M248" s="132">
        <f t="shared" si="218"/>
        <v>1580.2601138227383</v>
      </c>
      <c r="N248" s="132">
        <f t="shared" si="218"/>
        <v>1574.1193944761528</v>
      </c>
      <c r="O248" s="132">
        <f t="shared" si="218"/>
        <v>1567.9405340156136</v>
      </c>
      <c r="P248" s="132">
        <f t="shared" si="218"/>
        <v>1561.6981050318177</v>
      </c>
      <c r="Q248" s="132">
        <f t="shared" ref="Q248:T248" si="219">Q246+Q247</f>
        <v>1555.6082405038378</v>
      </c>
      <c r="R248" s="132">
        <f t="shared" si="219"/>
        <v>1549.589737502117</v>
      </c>
      <c r="S248" s="132">
        <f t="shared" si="219"/>
        <v>1543.6417598065054</v>
      </c>
      <c r="T248" s="132">
        <f t="shared" si="219"/>
        <v>1537.7634809957485</v>
      </c>
    </row>
    <row r="249" spans="1:21" x14ac:dyDescent="0.25">
      <c r="A249" s="21" t="s">
        <v>206</v>
      </c>
      <c r="B249" s="53">
        <v>0</v>
      </c>
      <c r="C249" s="38">
        <f>$C$116</f>
        <v>0.125</v>
      </c>
      <c r="D249" s="38">
        <f>$D$116</f>
        <v>0.66709075487701441</v>
      </c>
      <c r="E249" s="38">
        <f>$E$116</f>
        <v>0.2530689329556185</v>
      </c>
      <c r="F249" s="38">
        <f>E249</f>
        <v>0.2530689329556185</v>
      </c>
      <c r="G249" s="38">
        <f t="shared" ref="G249:Q249" si="220">F249</f>
        <v>0.2530689329556185</v>
      </c>
      <c r="H249" s="128">
        <f t="shared" si="220"/>
        <v>0.2530689329556185</v>
      </c>
      <c r="I249" s="128">
        <f t="shared" si="220"/>
        <v>0.2530689329556185</v>
      </c>
      <c r="J249" s="128">
        <f t="shared" si="220"/>
        <v>0.2530689329556185</v>
      </c>
      <c r="K249" s="128">
        <f t="shared" si="220"/>
        <v>0.2530689329556185</v>
      </c>
      <c r="L249" s="128">
        <f t="shared" si="220"/>
        <v>0.2530689329556185</v>
      </c>
      <c r="M249" s="128">
        <f t="shared" si="220"/>
        <v>0.2530689329556185</v>
      </c>
      <c r="N249" s="128">
        <f t="shared" si="220"/>
        <v>0.2530689329556185</v>
      </c>
      <c r="O249" s="128">
        <f t="shared" si="220"/>
        <v>0.2530689329556185</v>
      </c>
      <c r="P249" s="128">
        <f t="shared" si="220"/>
        <v>0.2530689329556185</v>
      </c>
      <c r="Q249" s="128">
        <f t="shared" si="220"/>
        <v>0.2530689329556185</v>
      </c>
      <c r="R249" s="128">
        <f t="shared" ref="R249" si="221">Q249</f>
        <v>0.2530689329556185</v>
      </c>
      <c r="S249" s="128">
        <f t="shared" ref="S249" si="222">R249</f>
        <v>0.2530689329556185</v>
      </c>
      <c r="T249" s="128">
        <f t="shared" ref="T249" si="223">S249</f>
        <v>0.2530689329556185</v>
      </c>
    </row>
    <row r="250" spans="1:21" x14ac:dyDescent="0.25">
      <c r="A250" s="47" t="s">
        <v>205</v>
      </c>
      <c r="B250" s="53">
        <v>0</v>
      </c>
      <c r="C250" s="25">
        <f t="shared" ref="C250:P250" si="224">C251-C248</f>
        <v>101.42857142857144</v>
      </c>
      <c r="D250" s="25">
        <f t="shared" si="224"/>
        <v>1573</v>
      </c>
      <c r="E250" s="25">
        <f t="shared" si="224"/>
        <v>268</v>
      </c>
      <c r="F250" s="25">
        <f t="shared" si="224"/>
        <v>196.98000000000002</v>
      </c>
      <c r="G250" s="25">
        <f t="shared" si="224"/>
        <v>194.88222265958143</v>
      </c>
      <c r="H250" s="109">
        <f t="shared" si="224"/>
        <v>192.74567736009965</v>
      </c>
      <c r="I250" s="109">
        <f t="shared" si="224"/>
        <v>190.63928491766706</v>
      </c>
      <c r="J250" s="109">
        <f t="shared" si="224"/>
        <v>323.06695522754706</v>
      </c>
      <c r="K250" s="109">
        <f t="shared" si="224"/>
        <v>438.57127419910398</v>
      </c>
      <c r="L250" s="109">
        <f t="shared" si="224"/>
        <v>537.4824383611699</v>
      </c>
      <c r="M250" s="109">
        <f t="shared" si="224"/>
        <v>535.41050632679389</v>
      </c>
      <c r="N250" s="109">
        <f t="shared" si="224"/>
        <v>533.32995919040309</v>
      </c>
      <c r="O250" s="109">
        <f t="shared" si="224"/>
        <v>531.23648940099156</v>
      </c>
      <c r="P250" s="109">
        <f t="shared" si="224"/>
        <v>529.12148185654496</v>
      </c>
      <c r="Q250" s="109">
        <f t="shared" ref="Q250:T250" si="225">Q251-Q248</f>
        <v>527.05816492418262</v>
      </c>
      <c r="R250" s="109">
        <f t="shared" si="225"/>
        <v>525.01902610691172</v>
      </c>
      <c r="S250" s="109">
        <f t="shared" si="225"/>
        <v>523.00378208362008</v>
      </c>
      <c r="T250" s="109">
        <f t="shared" si="225"/>
        <v>521.01215285317403</v>
      </c>
    </row>
    <row r="251" spans="1:21" x14ac:dyDescent="0.25">
      <c r="A251" s="93" t="s">
        <v>286</v>
      </c>
      <c r="B251" s="62">
        <v>0</v>
      </c>
      <c r="C251" s="33">
        <f t="shared" ref="C251:P251" si="226">C248/(1-C249)*100/100</f>
        <v>811.42857142857144</v>
      </c>
      <c r="D251" s="33">
        <f t="shared" si="226"/>
        <v>2358</v>
      </c>
      <c r="E251" s="33">
        <f t="shared" si="226"/>
        <v>1059</v>
      </c>
      <c r="F251" s="33">
        <f t="shared" si="226"/>
        <v>778.36500000000001</v>
      </c>
      <c r="G251" s="33">
        <f t="shared" si="226"/>
        <v>770.07564849439086</v>
      </c>
      <c r="H251" s="114">
        <f t="shared" si="226"/>
        <v>761.63310568785664</v>
      </c>
      <c r="I251" s="114">
        <f t="shared" si="226"/>
        <v>753.30971167093071</v>
      </c>
      <c r="J251" s="114">
        <f t="shared" si="226"/>
        <v>1276.5966626342254</v>
      </c>
      <c r="K251" s="114">
        <f t="shared" si="226"/>
        <v>1733.0111170778025</v>
      </c>
      <c r="L251" s="114">
        <f t="shared" si="226"/>
        <v>2123.8578441211907</v>
      </c>
      <c r="M251" s="114">
        <f t="shared" si="226"/>
        <v>2115.6706201495322</v>
      </c>
      <c r="N251" s="114">
        <f t="shared" si="226"/>
        <v>2107.4493536665559</v>
      </c>
      <c r="O251" s="114">
        <f t="shared" si="226"/>
        <v>2099.1770234166052</v>
      </c>
      <c r="P251" s="114">
        <f t="shared" si="226"/>
        <v>2090.8195868883627</v>
      </c>
      <c r="Q251" s="114">
        <f t="shared" ref="Q251:T251" si="227">Q248/(1-Q249)*100/100</f>
        <v>2082.6664054280204</v>
      </c>
      <c r="R251" s="114">
        <f t="shared" si="227"/>
        <v>2074.6087636090288</v>
      </c>
      <c r="S251" s="114">
        <f t="shared" si="227"/>
        <v>2066.6455418901255</v>
      </c>
      <c r="T251" s="114">
        <f t="shared" si="227"/>
        <v>2058.7756338489226</v>
      </c>
    </row>
    <row r="252" spans="1:21" x14ac:dyDescent="0.25">
      <c r="A252" s="48" t="s">
        <v>196</v>
      </c>
      <c r="B252" s="53">
        <v>0</v>
      </c>
      <c r="C252" s="36">
        <f>'Majapidamiste nõudlus asulates'!E103</f>
        <v>500</v>
      </c>
      <c r="D252" s="36">
        <f>'Majapidamiste nõudlus asulates'!F103</f>
        <v>587</v>
      </c>
      <c r="E252" s="36">
        <f>'Majapidamiste nõudlus asulates'!G103</f>
        <v>745</v>
      </c>
      <c r="F252" s="36">
        <f>'Majapidamiste nõudlus asulates'!H103</f>
        <v>319.80487804878049</v>
      </c>
      <c r="G252" s="36">
        <f>'Majapidamiste nõudlus asulates'!I103</f>
        <v>316.39905295726845</v>
      </c>
      <c r="H252" s="132">
        <f>'Majapidamiste nõudlus asulates'!J103</f>
        <v>312.93028653962989</v>
      </c>
      <c r="I252" s="132">
        <f>'Majapidamiste nõudlus asulates'!K103</f>
        <v>309.51047448675638</v>
      </c>
      <c r="J252" s="132">
        <f>'Majapidamiste nõudlus asulates'!L103</f>
        <v>306.13262331796716</v>
      </c>
      <c r="K252" s="132">
        <f>'Majapidamiste nõudlus asulates'!M103</f>
        <v>302.78274607190087</v>
      </c>
      <c r="L252" s="132">
        <f>'Majapidamiste nõudlus asulates'!N103</f>
        <v>299.446855787196</v>
      </c>
      <c r="M252" s="132">
        <f>'Majapidamiste nõudlus asulates'!O103</f>
        <v>296.08299157976819</v>
      </c>
      <c r="N252" s="132">
        <f>'Majapidamiste nõudlus asulates'!P103</f>
        <v>292.70514041097903</v>
      </c>
      <c r="O252" s="132">
        <f>'Majapidamiste nõudlus asulates'!Q103</f>
        <v>289.30630880014763</v>
      </c>
      <c r="P252" s="132">
        <f>'Majapidamiste nõudlus asulates'!R103</f>
        <v>285.87250978591271</v>
      </c>
      <c r="Q252" s="132">
        <f>'Majapidamiste nõudlus asulates'!S103</f>
        <v>282.52263253984643</v>
      </c>
      <c r="R252" s="132">
        <f>'Majapidamiste nõudlus asulates'!T103</f>
        <v>279.21200942693241</v>
      </c>
      <c r="S252" s="132">
        <f>'Majapidamiste nõudlus asulates'!U103</f>
        <v>275.94018046405597</v>
      </c>
      <c r="T252" s="132">
        <f>'Majapidamiste nõudlus asulates'!V103</f>
        <v>272.70669105822179</v>
      </c>
    </row>
    <row r="253" spans="1:21" x14ac:dyDescent="0.25">
      <c r="A253" s="48" t="s">
        <v>197</v>
      </c>
      <c r="B253" s="53">
        <v>0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0</v>
      </c>
      <c r="Q253" s="23">
        <v>0</v>
      </c>
      <c r="R253" s="23">
        <v>0</v>
      </c>
      <c r="S253" s="23">
        <v>0</v>
      </c>
      <c r="T253" s="23">
        <v>0</v>
      </c>
    </row>
    <row r="254" spans="1:21" x14ac:dyDescent="0.25">
      <c r="A254" s="52" t="s">
        <v>221</v>
      </c>
      <c r="B254" s="53">
        <v>0</v>
      </c>
      <c r="C254" s="36">
        <f>C252+C253</f>
        <v>500</v>
      </c>
      <c r="D254" s="36">
        <f t="shared" ref="D254:P254" si="228">D252+D253</f>
        <v>587</v>
      </c>
      <c r="E254" s="36">
        <f t="shared" si="228"/>
        <v>745</v>
      </c>
      <c r="F254" s="36">
        <f t="shared" si="228"/>
        <v>319.80487804878049</v>
      </c>
      <c r="G254" s="36">
        <f t="shared" si="228"/>
        <v>316.39905295726845</v>
      </c>
      <c r="H254" s="36">
        <f t="shared" si="228"/>
        <v>312.93028653962989</v>
      </c>
      <c r="I254" s="36">
        <f t="shared" si="228"/>
        <v>309.51047448675638</v>
      </c>
      <c r="J254" s="36">
        <f t="shared" si="228"/>
        <v>306.13262331796716</v>
      </c>
      <c r="K254" s="36">
        <f t="shared" si="228"/>
        <v>302.78274607190087</v>
      </c>
      <c r="L254" s="36">
        <f t="shared" si="228"/>
        <v>299.446855787196</v>
      </c>
      <c r="M254" s="36">
        <f t="shared" si="228"/>
        <v>296.08299157976819</v>
      </c>
      <c r="N254" s="36">
        <f t="shared" si="228"/>
        <v>292.70514041097903</v>
      </c>
      <c r="O254" s="36">
        <f t="shared" si="228"/>
        <v>289.30630880014763</v>
      </c>
      <c r="P254" s="36">
        <f t="shared" si="228"/>
        <v>285.87250978591271</v>
      </c>
      <c r="Q254" s="36">
        <f t="shared" ref="Q254:T254" si="229">Q252+Q253</f>
        <v>282.52263253984643</v>
      </c>
      <c r="R254" s="36">
        <f t="shared" si="229"/>
        <v>279.21200942693241</v>
      </c>
      <c r="S254" s="36">
        <f t="shared" si="229"/>
        <v>275.94018046405597</v>
      </c>
      <c r="T254" s="36">
        <f t="shared" si="229"/>
        <v>272.70669105822179</v>
      </c>
    </row>
    <row r="255" spans="1:21" x14ac:dyDescent="0.25">
      <c r="A255" s="21" t="s">
        <v>206</v>
      </c>
      <c r="B255" s="53">
        <v>0</v>
      </c>
      <c r="C255" s="38">
        <f>$C$122</f>
        <v>0.15873015873015872</v>
      </c>
      <c r="D255" s="38">
        <f>$D$122</f>
        <v>0.48508771929824562</v>
      </c>
      <c r="E255" s="38">
        <f>$E$122</f>
        <v>0.38019966722129783</v>
      </c>
      <c r="F255" s="38">
        <f>(D255+E255)/2</f>
        <v>0.4326436932597717</v>
      </c>
      <c r="G255" s="38">
        <f>F255</f>
        <v>0.4326436932597717</v>
      </c>
      <c r="H255" s="38">
        <f t="shared" ref="H255:Q255" si="230">G255</f>
        <v>0.4326436932597717</v>
      </c>
      <c r="I255" s="38">
        <f t="shared" si="230"/>
        <v>0.4326436932597717</v>
      </c>
      <c r="J255" s="38">
        <f t="shared" si="230"/>
        <v>0.4326436932597717</v>
      </c>
      <c r="K255" s="38">
        <f t="shared" si="230"/>
        <v>0.4326436932597717</v>
      </c>
      <c r="L255" s="38">
        <f t="shared" si="230"/>
        <v>0.4326436932597717</v>
      </c>
      <c r="M255" s="38">
        <f t="shared" si="230"/>
        <v>0.4326436932597717</v>
      </c>
      <c r="N255" s="38">
        <f t="shared" si="230"/>
        <v>0.4326436932597717</v>
      </c>
      <c r="O255" s="38">
        <f t="shared" si="230"/>
        <v>0.4326436932597717</v>
      </c>
      <c r="P255" s="38">
        <f t="shared" si="230"/>
        <v>0.4326436932597717</v>
      </c>
      <c r="Q255" s="38">
        <f t="shared" si="230"/>
        <v>0.4326436932597717</v>
      </c>
      <c r="R255" s="38">
        <f t="shared" ref="R255" si="231">Q255</f>
        <v>0.4326436932597717</v>
      </c>
      <c r="S255" s="38">
        <f t="shared" ref="S255" si="232">R255</f>
        <v>0.4326436932597717</v>
      </c>
      <c r="T255" s="38">
        <f t="shared" ref="T255" si="233">S255</f>
        <v>0.4326436932597717</v>
      </c>
    </row>
    <row r="256" spans="1:21" x14ac:dyDescent="0.25">
      <c r="A256" s="47" t="s">
        <v>205</v>
      </c>
      <c r="B256" s="53">
        <v>0</v>
      </c>
      <c r="C256" s="25">
        <f t="shared" ref="C256:P256" si="234">C257-C254</f>
        <v>94.339622641509436</v>
      </c>
      <c r="D256" s="25">
        <f t="shared" si="234"/>
        <v>553.00000000000023</v>
      </c>
      <c r="E256" s="25">
        <f t="shared" si="234"/>
        <v>457</v>
      </c>
      <c r="F256" s="25">
        <f t="shared" si="234"/>
        <v>243.87067160049384</v>
      </c>
      <c r="G256" s="25">
        <f t="shared" si="234"/>
        <v>241.27352280936708</v>
      </c>
      <c r="H256" s="25">
        <f t="shared" si="234"/>
        <v>238.62837742867106</v>
      </c>
      <c r="I256" s="25">
        <f t="shared" si="234"/>
        <v>236.02056272875109</v>
      </c>
      <c r="J256" s="25">
        <f t="shared" si="234"/>
        <v>233.44474575521053</v>
      </c>
      <c r="K256" s="25">
        <f t="shared" si="234"/>
        <v>230.89026059925618</v>
      </c>
      <c r="L256" s="25">
        <f t="shared" si="234"/>
        <v>228.34644135209487</v>
      </c>
      <c r="M256" s="25">
        <f t="shared" si="234"/>
        <v>225.78129028734736</v>
      </c>
      <c r="N256" s="25">
        <f t="shared" si="234"/>
        <v>223.20547331380675</v>
      </c>
      <c r="O256" s="25">
        <f t="shared" si="234"/>
        <v>220.61365747707646</v>
      </c>
      <c r="P256" s="25">
        <f t="shared" si="234"/>
        <v>217.99517686836339</v>
      </c>
      <c r="Q256" s="25">
        <f t="shared" ref="Q256:T256" si="235">Q257-Q254</f>
        <v>215.44069171240903</v>
      </c>
      <c r="R256" s="25">
        <f t="shared" si="235"/>
        <v>212.9161402206106</v>
      </c>
      <c r="S256" s="25">
        <f t="shared" si="235"/>
        <v>210.42117162786479</v>
      </c>
      <c r="T256" s="25">
        <f t="shared" si="235"/>
        <v>207.955439279362</v>
      </c>
    </row>
    <row r="257" spans="1:20" x14ac:dyDescent="0.25">
      <c r="A257" s="93" t="s">
        <v>285</v>
      </c>
      <c r="B257" s="62">
        <v>0</v>
      </c>
      <c r="C257" s="33">
        <f t="shared" ref="C257:P257" si="236">C254/(1-C255)*100/100</f>
        <v>594.33962264150944</v>
      </c>
      <c r="D257" s="33">
        <f t="shared" si="236"/>
        <v>1140.0000000000002</v>
      </c>
      <c r="E257" s="33">
        <f t="shared" si="236"/>
        <v>1202</v>
      </c>
      <c r="F257" s="33">
        <f t="shared" si="236"/>
        <v>563.67554964927433</v>
      </c>
      <c r="G257" s="33">
        <f t="shared" si="236"/>
        <v>557.67257576663553</v>
      </c>
      <c r="H257" s="33">
        <f t="shared" si="236"/>
        <v>551.55866396830095</v>
      </c>
      <c r="I257" s="33">
        <f t="shared" si="236"/>
        <v>545.53103721550747</v>
      </c>
      <c r="J257" s="33">
        <f t="shared" si="236"/>
        <v>539.57736907317769</v>
      </c>
      <c r="K257" s="33">
        <f t="shared" si="236"/>
        <v>533.67300667115705</v>
      </c>
      <c r="L257" s="33">
        <f t="shared" si="236"/>
        <v>527.79329713929087</v>
      </c>
      <c r="M257" s="33">
        <f t="shared" si="236"/>
        <v>521.86428186711555</v>
      </c>
      <c r="N257" s="33">
        <f t="shared" si="236"/>
        <v>515.91061372478578</v>
      </c>
      <c r="O257" s="33">
        <f t="shared" si="236"/>
        <v>509.91996627722409</v>
      </c>
      <c r="P257" s="33">
        <f t="shared" si="236"/>
        <v>503.8676866542761</v>
      </c>
      <c r="Q257" s="33">
        <f t="shared" ref="Q257:T257" si="237">Q254/(1-Q255)*100/100</f>
        <v>497.96332425225546</v>
      </c>
      <c r="R257" s="33">
        <f t="shared" si="237"/>
        <v>492.12814964754301</v>
      </c>
      <c r="S257" s="33">
        <f t="shared" si="237"/>
        <v>486.36135209192076</v>
      </c>
      <c r="T257" s="33">
        <f t="shared" si="237"/>
        <v>480.66213033758379</v>
      </c>
    </row>
    <row r="258" spans="1:20" x14ac:dyDescent="0.25">
      <c r="A258" s="48" t="s">
        <v>201</v>
      </c>
      <c r="B258" s="53">
        <v>0</v>
      </c>
      <c r="C258" s="21">
        <f>'Majapidamiste nõudlus asulates'!E104</f>
        <v>650</v>
      </c>
      <c r="D258" s="25">
        <f>'Majapidamiste nõudlus asulates'!F104</f>
        <v>746</v>
      </c>
      <c r="E258" s="25">
        <f>'Majapidamiste nõudlus asulates'!G104</f>
        <v>635</v>
      </c>
      <c r="F258" s="25">
        <f>'Majapidamiste nõudlus asulates'!H104</f>
        <v>628.28151369596276</v>
      </c>
      <c r="G258" s="25">
        <f>'Majapidamiste nõudlus asulates'!I104</f>
        <v>621.59050586351657</v>
      </c>
      <c r="H258" s="25">
        <f>'Majapidamiste nõudlus asulates'!J104</f>
        <v>614.77584490891013</v>
      </c>
      <c r="I258" s="25">
        <f>'Majapidamiste nõudlus asulates'!K104</f>
        <v>608.05735860487266</v>
      </c>
      <c r="J258" s="25">
        <f>'Majapidamiste nõudlus asulates'!L104</f>
        <v>601.42130771560869</v>
      </c>
      <c r="K258" s="25">
        <f>'Majapidamiste nõudlus asulates'!M104</f>
        <v>594.84021376952705</v>
      </c>
      <c r="L258" s="25">
        <f>'Majapidamiste nõudlus asulates'!N104</f>
        <v>588.2865982950367</v>
      </c>
      <c r="M258" s="25">
        <f>'Majapidamiste nõudlus asulates'!O104</f>
        <v>581.67802587736378</v>
      </c>
      <c r="N258" s="25">
        <f>'Majapidamiste nõudlus asulates'!P104</f>
        <v>575.04197498809992</v>
      </c>
      <c r="O258" s="25">
        <f>'Majapidamiste nõudlus asulates'!Q104</f>
        <v>568.3647063914492</v>
      </c>
      <c r="P258" s="25">
        <f>'Majapidamiste nõudlus asulates'!R104</f>
        <v>561.6187416158208</v>
      </c>
      <c r="Q258" s="25">
        <f>'Majapidamiste nõudlus asulates'!S104</f>
        <v>555.03764766973904</v>
      </c>
      <c r="R258" s="25">
        <f>'Majapidamiste nõudlus asulates'!T104</f>
        <v>548.53367151606335</v>
      </c>
      <c r="S258" s="25">
        <f>'Majapidamiste nõudlus asulates'!U104</f>
        <v>542.1059094822499</v>
      </c>
      <c r="T258" s="25">
        <f>'Majapidamiste nõudlus asulates'!V104</f>
        <v>535.75346848506308</v>
      </c>
    </row>
    <row r="259" spans="1:20" x14ac:dyDescent="0.25">
      <c r="A259" s="48" t="s">
        <v>200</v>
      </c>
      <c r="B259" s="53">
        <v>0</v>
      </c>
      <c r="C259" s="21">
        <v>0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  <c r="Q259" s="21">
        <v>0</v>
      </c>
      <c r="R259" s="21">
        <v>0</v>
      </c>
      <c r="S259" s="21">
        <v>0</v>
      </c>
      <c r="T259" s="21">
        <v>0</v>
      </c>
    </row>
    <row r="260" spans="1:20" x14ac:dyDescent="0.25">
      <c r="A260" s="52" t="s">
        <v>222</v>
      </c>
      <c r="B260" s="53">
        <v>0</v>
      </c>
      <c r="C260" s="36">
        <f>C258+C259</f>
        <v>650</v>
      </c>
      <c r="D260" s="36">
        <f t="shared" ref="D260" si="238">D258+D259</f>
        <v>746</v>
      </c>
      <c r="E260" s="36">
        <f t="shared" ref="E260" si="239">E258+E259</f>
        <v>635</v>
      </c>
      <c r="F260" s="36">
        <f t="shared" ref="F260" si="240">F258+F259</f>
        <v>628.28151369596276</v>
      </c>
      <c r="G260" s="36">
        <f t="shared" ref="G260" si="241">G258+G259</f>
        <v>621.59050586351657</v>
      </c>
      <c r="H260" s="36">
        <f t="shared" ref="H260" si="242">H258+H259</f>
        <v>614.77584490891013</v>
      </c>
      <c r="I260" s="36">
        <f t="shared" ref="I260" si="243">I258+I259</f>
        <v>608.05735860487266</v>
      </c>
      <c r="J260" s="36">
        <f t="shared" ref="J260" si="244">J258+J259</f>
        <v>601.42130771560869</v>
      </c>
      <c r="K260" s="36">
        <f t="shared" ref="K260" si="245">K258+K259</f>
        <v>594.84021376952705</v>
      </c>
      <c r="L260" s="36">
        <f t="shared" ref="L260" si="246">L258+L259</f>
        <v>588.2865982950367</v>
      </c>
      <c r="M260" s="36">
        <f t="shared" ref="M260" si="247">M258+M259</f>
        <v>581.67802587736378</v>
      </c>
      <c r="N260" s="36">
        <f t="shared" ref="N260" si="248">N258+N259</f>
        <v>575.04197498809992</v>
      </c>
      <c r="O260" s="36">
        <f t="shared" ref="O260" si="249">O258+O259</f>
        <v>568.3647063914492</v>
      </c>
      <c r="P260" s="36">
        <f t="shared" ref="P260:Q260" si="250">P258+P259</f>
        <v>561.6187416158208</v>
      </c>
      <c r="Q260" s="36">
        <f t="shared" si="250"/>
        <v>555.03764766973904</v>
      </c>
      <c r="R260" s="36">
        <f t="shared" ref="R260:T260" si="251">R258+R259</f>
        <v>548.53367151606335</v>
      </c>
      <c r="S260" s="36">
        <f t="shared" si="251"/>
        <v>542.1059094822499</v>
      </c>
      <c r="T260" s="36">
        <f t="shared" si="251"/>
        <v>535.75346848506308</v>
      </c>
    </row>
    <row r="261" spans="1:20" x14ac:dyDescent="0.25">
      <c r="A261" s="21" t="s">
        <v>206</v>
      </c>
      <c r="B261" s="53">
        <v>0</v>
      </c>
      <c r="C261" s="38">
        <f>$C$128</f>
        <v>0.13157894736842105</v>
      </c>
      <c r="D261" s="38">
        <f>$D$128</f>
        <v>0.241869918699187</v>
      </c>
      <c r="E261" s="38">
        <f>$E$128</f>
        <v>0.2983425414364641</v>
      </c>
      <c r="F261" s="38">
        <f>(D261+E261)/2</f>
        <v>0.27010623006782553</v>
      </c>
      <c r="G261" s="38">
        <f>F261</f>
        <v>0.27010623006782553</v>
      </c>
      <c r="H261" s="38">
        <f t="shared" ref="H261:Q261" si="252">G261</f>
        <v>0.27010623006782553</v>
      </c>
      <c r="I261" s="38">
        <f t="shared" si="252"/>
        <v>0.27010623006782553</v>
      </c>
      <c r="J261" s="38">
        <f t="shared" si="252"/>
        <v>0.27010623006782553</v>
      </c>
      <c r="K261" s="38">
        <f t="shared" si="252"/>
        <v>0.27010623006782553</v>
      </c>
      <c r="L261" s="38">
        <f t="shared" si="252"/>
        <v>0.27010623006782553</v>
      </c>
      <c r="M261" s="38">
        <f t="shared" si="252"/>
        <v>0.27010623006782553</v>
      </c>
      <c r="N261" s="38">
        <f t="shared" si="252"/>
        <v>0.27010623006782553</v>
      </c>
      <c r="O261" s="38">
        <f t="shared" si="252"/>
        <v>0.27010623006782553</v>
      </c>
      <c r="P261" s="38">
        <f t="shared" si="252"/>
        <v>0.27010623006782553</v>
      </c>
      <c r="Q261" s="38">
        <f t="shared" si="252"/>
        <v>0.27010623006782553</v>
      </c>
      <c r="R261" s="38">
        <f t="shared" ref="R261" si="253">Q261</f>
        <v>0.27010623006782553</v>
      </c>
      <c r="S261" s="38">
        <f t="shared" ref="S261" si="254">R261</f>
        <v>0.27010623006782553</v>
      </c>
      <c r="T261" s="38">
        <f t="shared" ref="T261" si="255">S261</f>
        <v>0.27010623006782553</v>
      </c>
    </row>
    <row r="262" spans="1:20" x14ac:dyDescent="0.25">
      <c r="A262" s="47" t="s">
        <v>205</v>
      </c>
      <c r="B262" s="53">
        <v>0</v>
      </c>
      <c r="C262" s="25">
        <f t="shared" ref="C262:P262" si="256">C263-C260</f>
        <v>98.484848484848499</v>
      </c>
      <c r="D262" s="25">
        <f t="shared" si="256"/>
        <v>238.00000000000011</v>
      </c>
      <c r="E262" s="25">
        <f t="shared" si="256"/>
        <v>270</v>
      </c>
      <c r="F262" s="25">
        <f t="shared" si="256"/>
        <v>232.50335607261457</v>
      </c>
      <c r="G262" s="25">
        <f t="shared" si="256"/>
        <v>230.02726574902647</v>
      </c>
      <c r="H262" s="25">
        <f t="shared" si="256"/>
        <v>227.50541605600847</v>
      </c>
      <c r="I262" s="25">
        <f t="shared" si="256"/>
        <v>225.01915698365804</v>
      </c>
      <c r="J262" s="25">
        <f t="shared" si="256"/>
        <v>222.56340415759416</v>
      </c>
      <c r="K262" s="25">
        <f t="shared" si="256"/>
        <v>220.12798882905474</v>
      </c>
      <c r="L262" s="25">
        <f t="shared" si="256"/>
        <v>217.70274224927743</v>
      </c>
      <c r="M262" s="25">
        <f t="shared" si="256"/>
        <v>215.25715817197579</v>
      </c>
      <c r="N262" s="25">
        <f t="shared" si="256"/>
        <v>212.80140534591192</v>
      </c>
      <c r="O262" s="25">
        <f t="shared" si="256"/>
        <v>210.33039939670493</v>
      </c>
      <c r="P262" s="25">
        <f t="shared" si="256"/>
        <v>207.83397157559239</v>
      </c>
      <c r="Q262" s="25">
        <f t="shared" ref="Q262:T262" si="257">Q263-Q260</f>
        <v>205.39855624705285</v>
      </c>
      <c r="R262" s="25">
        <f t="shared" si="257"/>
        <v>202.99167931277839</v>
      </c>
      <c r="S262" s="25">
        <f t="shared" si="257"/>
        <v>200.61300635755128</v>
      </c>
      <c r="T262" s="25">
        <f t="shared" si="257"/>
        <v>198.2622068848583</v>
      </c>
    </row>
    <row r="263" spans="1:20" x14ac:dyDescent="0.25">
      <c r="A263" s="93" t="s">
        <v>287</v>
      </c>
      <c r="B263" s="62">
        <v>0</v>
      </c>
      <c r="C263" s="33">
        <f t="shared" ref="C263:P263" si="258">C260/(1-C261)*100/100</f>
        <v>748.4848484848485</v>
      </c>
      <c r="D263" s="33">
        <f t="shared" si="258"/>
        <v>984.00000000000011</v>
      </c>
      <c r="E263" s="33">
        <f t="shared" si="258"/>
        <v>905</v>
      </c>
      <c r="F263" s="33">
        <f t="shared" si="258"/>
        <v>860.78486976857732</v>
      </c>
      <c r="G263" s="33">
        <f t="shared" si="258"/>
        <v>851.61777161254304</v>
      </c>
      <c r="H263" s="33">
        <f t="shared" si="258"/>
        <v>842.2812609649186</v>
      </c>
      <c r="I263" s="33">
        <f t="shared" si="258"/>
        <v>833.0765155885307</v>
      </c>
      <c r="J263" s="33">
        <f t="shared" si="258"/>
        <v>823.98471187320285</v>
      </c>
      <c r="K263" s="33">
        <f t="shared" si="258"/>
        <v>814.9682025985818</v>
      </c>
      <c r="L263" s="33">
        <f t="shared" si="258"/>
        <v>805.98934054431413</v>
      </c>
      <c r="M263" s="33">
        <f t="shared" si="258"/>
        <v>796.93518404933957</v>
      </c>
      <c r="N263" s="33">
        <f t="shared" si="258"/>
        <v>787.84338033401184</v>
      </c>
      <c r="O263" s="33">
        <f t="shared" si="258"/>
        <v>778.69510578815414</v>
      </c>
      <c r="P263" s="33">
        <f t="shared" si="258"/>
        <v>769.45271319141318</v>
      </c>
      <c r="Q263" s="33">
        <f t="shared" ref="Q263:T263" si="259">Q260/(1-Q261)*100/100</f>
        <v>760.4362039167919</v>
      </c>
      <c r="R263" s="33">
        <f t="shared" si="259"/>
        <v>751.52535082884174</v>
      </c>
      <c r="S263" s="33">
        <f t="shared" si="259"/>
        <v>742.71891583980118</v>
      </c>
      <c r="T263" s="33">
        <f t="shared" si="259"/>
        <v>734.01567536992138</v>
      </c>
    </row>
    <row r="264" spans="1:20" x14ac:dyDescent="0.25">
      <c r="A264" s="48" t="s">
        <v>199</v>
      </c>
      <c r="B264" s="53">
        <v>0</v>
      </c>
      <c r="C264" s="21">
        <f>'Majapidamiste nõudlus asulates'!E105</f>
        <v>520</v>
      </c>
      <c r="D264" s="25">
        <f>'Majapidamiste nõudlus asulates'!F105</f>
        <v>636</v>
      </c>
      <c r="E264" s="25">
        <f>'Majapidamiste nõudlus asulates'!G105</f>
        <v>699</v>
      </c>
      <c r="F264" s="25">
        <f>'Majapidamiste nõudlus asulates'!H105</f>
        <v>691.60437491886262</v>
      </c>
      <c r="G264" s="25">
        <f>'Majapidamiste nõudlus asulates'!I105</f>
        <v>684.2389977930676</v>
      </c>
      <c r="H264" s="25">
        <f>'Majapidamiste nõudlus asulates'!J105</f>
        <v>676.73750486823303</v>
      </c>
      <c r="I264" s="25">
        <f>'Majapidamiste nõudlus asulates'!K105</f>
        <v>669.34187978709576</v>
      </c>
      <c r="J264" s="25">
        <f>'Majapidamiste nõudlus asulates'!L105</f>
        <v>662.03699857198501</v>
      </c>
      <c r="K264" s="25">
        <f>'Majapidamiste nõudlus asulates'!M105</f>
        <v>654.79261326755818</v>
      </c>
      <c r="L264" s="25">
        <f>'Majapidamiste nõudlus asulates'!N105</f>
        <v>647.57847591847326</v>
      </c>
      <c r="M264" s="25">
        <f>'Majapidamiste nõudlus asulates'!O105</f>
        <v>640.3038426587043</v>
      </c>
      <c r="N264" s="25">
        <f>'Majapidamiste nõudlus asulates'!P105</f>
        <v>632.99896144359332</v>
      </c>
      <c r="O264" s="25">
        <f>'Majapidamiste nõudlus asulates'!Q105</f>
        <v>625.64870829546919</v>
      </c>
      <c r="P264" s="25">
        <f>'Majapidamiste nõudlus asulates'!R105</f>
        <v>618.2228352589899</v>
      </c>
      <c r="Q264" s="25">
        <f>'Majapidamiste nõudlus asulates'!S105</f>
        <v>610.97844995456308</v>
      </c>
      <c r="R264" s="25">
        <f>'Majapidamiste nõudlus asulates'!T105</f>
        <v>603.81895494445382</v>
      </c>
      <c r="S264" s="25">
        <f>'Majapidamiste nõudlus asulates'!U105</f>
        <v>596.74335547731118</v>
      </c>
      <c r="T264" s="25">
        <f>'Majapidamiste nõudlus asulates'!V105</f>
        <v>589.75066845836079</v>
      </c>
    </row>
    <row r="265" spans="1:20" x14ac:dyDescent="0.25">
      <c r="A265" s="48" t="s">
        <v>198</v>
      </c>
      <c r="B265" s="53">
        <v>0</v>
      </c>
      <c r="C265" s="21">
        <v>0</v>
      </c>
      <c r="D265" s="21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  <c r="S265" s="21">
        <v>0</v>
      </c>
      <c r="T265" s="21">
        <v>0</v>
      </c>
    </row>
    <row r="266" spans="1:20" x14ac:dyDescent="0.25">
      <c r="A266" s="52" t="s">
        <v>223</v>
      </c>
      <c r="B266" s="53">
        <v>0</v>
      </c>
      <c r="C266" s="36">
        <f>C264+C265</f>
        <v>520</v>
      </c>
      <c r="D266" s="36">
        <f t="shared" ref="D266" si="260">D264+D265</f>
        <v>636</v>
      </c>
      <c r="E266" s="36">
        <f t="shared" ref="E266" si="261">E264+E265</f>
        <v>699</v>
      </c>
      <c r="F266" s="36">
        <f t="shared" ref="F266" si="262">F264+F265</f>
        <v>691.60437491886262</v>
      </c>
      <c r="G266" s="36">
        <f t="shared" ref="G266" si="263">G264+G265</f>
        <v>684.2389977930676</v>
      </c>
      <c r="H266" s="36">
        <f t="shared" ref="H266" si="264">H264+H265</f>
        <v>676.73750486823303</v>
      </c>
      <c r="I266" s="36">
        <f t="shared" ref="I266" si="265">I264+I265</f>
        <v>669.34187978709576</v>
      </c>
      <c r="J266" s="36">
        <f t="shared" ref="J266" si="266">J264+J265</f>
        <v>662.03699857198501</v>
      </c>
      <c r="K266" s="36">
        <f t="shared" ref="K266" si="267">K264+K265</f>
        <v>654.79261326755818</v>
      </c>
      <c r="L266" s="36">
        <f t="shared" ref="L266" si="268">L264+L265</f>
        <v>647.57847591847326</v>
      </c>
      <c r="M266" s="36">
        <f t="shared" ref="M266" si="269">M264+M265</f>
        <v>640.3038426587043</v>
      </c>
      <c r="N266" s="36">
        <f t="shared" ref="N266" si="270">N264+N265</f>
        <v>632.99896144359332</v>
      </c>
      <c r="O266" s="36">
        <f t="shared" ref="O266" si="271">O264+O265</f>
        <v>625.64870829546919</v>
      </c>
      <c r="P266" s="36">
        <f t="shared" ref="P266:Q266" si="272">P264+P265</f>
        <v>618.2228352589899</v>
      </c>
      <c r="Q266" s="36">
        <f t="shared" si="272"/>
        <v>610.97844995456308</v>
      </c>
      <c r="R266" s="36">
        <f t="shared" ref="R266:T266" si="273">R264+R265</f>
        <v>603.81895494445382</v>
      </c>
      <c r="S266" s="36">
        <f t="shared" si="273"/>
        <v>596.74335547731118</v>
      </c>
      <c r="T266" s="36">
        <f t="shared" si="273"/>
        <v>589.75066845836079</v>
      </c>
    </row>
    <row r="267" spans="1:20" x14ac:dyDescent="0.25">
      <c r="A267" s="21" t="s">
        <v>206</v>
      </c>
      <c r="B267" s="53">
        <v>0</v>
      </c>
      <c r="C267" s="38">
        <f>$C$134</f>
        <v>0.14516129032258066</v>
      </c>
      <c r="D267" s="38">
        <f t="shared" ref="D267:T267" si="274">$C$134</f>
        <v>0.14516129032258066</v>
      </c>
      <c r="E267" s="38">
        <f t="shared" si="274"/>
        <v>0.14516129032258066</v>
      </c>
      <c r="F267" s="38">
        <f t="shared" si="274"/>
        <v>0.14516129032258066</v>
      </c>
      <c r="G267" s="38">
        <f t="shared" si="274"/>
        <v>0.14516129032258066</v>
      </c>
      <c r="H267" s="38">
        <f t="shared" si="274"/>
        <v>0.14516129032258066</v>
      </c>
      <c r="I267" s="38">
        <f t="shared" si="274"/>
        <v>0.14516129032258066</v>
      </c>
      <c r="J267" s="38">
        <f t="shared" si="274"/>
        <v>0.14516129032258066</v>
      </c>
      <c r="K267" s="38">
        <f t="shared" si="274"/>
        <v>0.14516129032258066</v>
      </c>
      <c r="L267" s="38">
        <f t="shared" si="274"/>
        <v>0.14516129032258066</v>
      </c>
      <c r="M267" s="38">
        <f t="shared" si="274"/>
        <v>0.14516129032258066</v>
      </c>
      <c r="N267" s="38">
        <f t="shared" si="274"/>
        <v>0.14516129032258066</v>
      </c>
      <c r="O267" s="38">
        <f t="shared" si="274"/>
        <v>0.14516129032258066</v>
      </c>
      <c r="P267" s="38">
        <f t="shared" si="274"/>
        <v>0.14516129032258066</v>
      </c>
      <c r="Q267" s="38">
        <f t="shared" si="274"/>
        <v>0.14516129032258066</v>
      </c>
      <c r="R267" s="38">
        <f t="shared" si="274"/>
        <v>0.14516129032258066</v>
      </c>
      <c r="S267" s="38">
        <f t="shared" si="274"/>
        <v>0.14516129032258066</v>
      </c>
      <c r="T267" s="38">
        <f t="shared" si="274"/>
        <v>0.14516129032258066</v>
      </c>
    </row>
    <row r="268" spans="1:20" x14ac:dyDescent="0.25">
      <c r="A268" s="47" t="s">
        <v>205</v>
      </c>
      <c r="B268" s="53">
        <v>0</v>
      </c>
      <c r="C268" s="25">
        <f t="shared" ref="C268:P268" si="275">C269-C266</f>
        <v>88.301886792452819</v>
      </c>
      <c r="D268" s="25">
        <f t="shared" si="275"/>
        <v>108</v>
      </c>
      <c r="E268" s="25">
        <f t="shared" si="275"/>
        <v>118.69811320754718</v>
      </c>
      <c r="F268" s="25">
        <f t="shared" si="275"/>
        <v>117.44225234471264</v>
      </c>
      <c r="G268" s="25">
        <f t="shared" si="275"/>
        <v>116.19152792712464</v>
      </c>
      <c r="H268" s="25">
        <f t="shared" si="275"/>
        <v>114.91768950592632</v>
      </c>
      <c r="I268" s="25">
        <f t="shared" si="275"/>
        <v>113.66182864309167</v>
      </c>
      <c r="J268" s="25">
        <f t="shared" si="275"/>
        <v>112.42137711599742</v>
      </c>
      <c r="K268" s="25">
        <f t="shared" si="275"/>
        <v>111.19119847939669</v>
      </c>
      <c r="L268" s="25">
        <f t="shared" si="275"/>
        <v>109.96615628804261</v>
      </c>
      <c r="M268" s="25">
        <f t="shared" si="275"/>
        <v>108.73084120619501</v>
      </c>
      <c r="N268" s="25">
        <f t="shared" si="275"/>
        <v>107.49038967910076</v>
      </c>
      <c r="O268" s="25">
        <f t="shared" si="275"/>
        <v>106.24223348413625</v>
      </c>
      <c r="P268" s="25">
        <f t="shared" si="275"/>
        <v>104.98123617605484</v>
      </c>
      <c r="Q268" s="25">
        <f t="shared" ref="Q268:T268" si="276">Q269-Q266</f>
        <v>103.75105753945411</v>
      </c>
      <c r="R268" s="25">
        <f t="shared" si="276"/>
        <v>102.53529423585064</v>
      </c>
      <c r="S268" s="25">
        <f t="shared" si="276"/>
        <v>101.33377734520377</v>
      </c>
      <c r="T268" s="25">
        <f t="shared" si="276"/>
        <v>100.14633992689153</v>
      </c>
    </row>
    <row r="269" spans="1:20" x14ac:dyDescent="0.25">
      <c r="A269" s="93" t="s">
        <v>288</v>
      </c>
      <c r="B269" s="62">
        <v>0</v>
      </c>
      <c r="C269" s="33">
        <f t="shared" ref="C269:P269" si="277">C266/(1-C267)*100/100</f>
        <v>608.30188679245282</v>
      </c>
      <c r="D269" s="33">
        <f t="shared" si="277"/>
        <v>744</v>
      </c>
      <c r="E269" s="33">
        <f t="shared" si="277"/>
        <v>817.69811320754718</v>
      </c>
      <c r="F269" s="33">
        <f t="shared" si="277"/>
        <v>809.04662726357526</v>
      </c>
      <c r="G269" s="33">
        <f t="shared" si="277"/>
        <v>800.43052572019224</v>
      </c>
      <c r="H269" s="33">
        <f t="shared" si="277"/>
        <v>791.65519437415935</v>
      </c>
      <c r="I269" s="33">
        <f t="shared" si="277"/>
        <v>783.00370843018743</v>
      </c>
      <c r="J269" s="33">
        <f t="shared" si="277"/>
        <v>774.45837568798243</v>
      </c>
      <c r="K269" s="33">
        <f t="shared" si="277"/>
        <v>765.98381174695487</v>
      </c>
      <c r="L269" s="33">
        <f t="shared" si="277"/>
        <v>757.54463220651587</v>
      </c>
      <c r="M269" s="33">
        <f t="shared" si="277"/>
        <v>749.03468386489931</v>
      </c>
      <c r="N269" s="33">
        <f t="shared" si="277"/>
        <v>740.48935112269407</v>
      </c>
      <c r="O269" s="33">
        <f t="shared" si="277"/>
        <v>731.89094177960544</v>
      </c>
      <c r="P269" s="33">
        <f t="shared" si="277"/>
        <v>723.20407143504474</v>
      </c>
      <c r="Q269" s="33">
        <f t="shared" ref="Q269:T269" si="278">Q266/(1-Q267)*100/100</f>
        <v>714.72950749401718</v>
      </c>
      <c r="R269" s="33">
        <f t="shared" si="278"/>
        <v>706.35424918030446</v>
      </c>
      <c r="S269" s="33">
        <f t="shared" si="278"/>
        <v>698.07713282251495</v>
      </c>
      <c r="T269" s="33">
        <f t="shared" si="278"/>
        <v>689.89700838525232</v>
      </c>
    </row>
    <row r="270" spans="1:20" x14ac:dyDescent="0.25">
      <c r="A270" s="104" t="s">
        <v>315</v>
      </c>
      <c r="B270" s="53">
        <v>0</v>
      </c>
      <c r="C270" s="21">
        <f>'Majapidamiste nõudlus asulates'!E111</f>
        <v>71.25</v>
      </c>
      <c r="D270" s="25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f>'Majapidamiste nõudlus asulates'!M87</f>
        <v>1057.45119071049</v>
      </c>
      <c r="L270" s="25">
        <f>'Majapidamiste nõudlus asulates'!N87</f>
        <v>2091.6015744932097</v>
      </c>
      <c r="M270" s="25">
        <f>'Majapidamiste nõudlus asulates'!O87</f>
        <v>3102.1580594371176</v>
      </c>
      <c r="N270" s="25">
        <f>'Majapidamiste nõudlus asulates'!P87</f>
        <v>3066.7672111789016</v>
      </c>
      <c r="O270" s="25">
        <f>'Majapidamiste nõudlus asulates'!Q87</f>
        <v>3031.156543987403</v>
      </c>
      <c r="P270" s="25">
        <f>'Majapidamiste nõudlus asulates'!R87</f>
        <v>2995.1795119071048</v>
      </c>
      <c r="Q270" s="25">
        <f>'Majapidamiste nõudlus asulates'!S87</f>
        <v>2960.0817555599288</v>
      </c>
      <c r="R270" s="25">
        <f>'Majapidamiste nõudlus asulates'!T87</f>
        <v>2925.3952775670919</v>
      </c>
      <c r="S270" s="25">
        <f>'Majapidamiste nõudlus asulates'!U87</f>
        <v>2891.1152585354935</v>
      </c>
      <c r="T270" s="25">
        <f>'Majapidamiste nõudlus asulates'!V87</f>
        <v>2857.2369355460742</v>
      </c>
    </row>
    <row r="271" spans="1:20" x14ac:dyDescent="0.25">
      <c r="A271" s="104" t="s">
        <v>316</v>
      </c>
      <c r="B271" s="53">
        <v>0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  <c r="Q271" s="21">
        <v>0</v>
      </c>
      <c r="R271" s="21">
        <v>0</v>
      </c>
      <c r="S271" s="21">
        <v>0</v>
      </c>
      <c r="T271" s="21">
        <v>0</v>
      </c>
    </row>
    <row r="272" spans="1:20" x14ac:dyDescent="0.25">
      <c r="A272" s="104" t="s">
        <v>317</v>
      </c>
      <c r="B272" s="53">
        <v>0</v>
      </c>
      <c r="C272" s="36">
        <f>C270+C271</f>
        <v>71.25</v>
      </c>
      <c r="D272" s="36">
        <f t="shared" ref="D272:Q272" si="279">D270+D271</f>
        <v>0</v>
      </c>
      <c r="E272" s="36">
        <f t="shared" si="279"/>
        <v>0</v>
      </c>
      <c r="F272" s="36">
        <f t="shared" si="279"/>
        <v>0</v>
      </c>
      <c r="G272" s="36">
        <f t="shared" si="279"/>
        <v>0</v>
      </c>
      <c r="H272" s="36">
        <f t="shared" si="279"/>
        <v>0</v>
      </c>
      <c r="I272" s="36">
        <f t="shared" si="279"/>
        <v>0</v>
      </c>
      <c r="J272" s="36">
        <f t="shared" si="279"/>
        <v>0</v>
      </c>
      <c r="K272" s="36">
        <f t="shared" si="279"/>
        <v>1057.45119071049</v>
      </c>
      <c r="L272" s="36">
        <f t="shared" si="279"/>
        <v>2091.6015744932097</v>
      </c>
      <c r="M272" s="36">
        <f t="shared" si="279"/>
        <v>3102.1580594371176</v>
      </c>
      <c r="N272" s="36">
        <f t="shared" si="279"/>
        <v>3066.7672111789016</v>
      </c>
      <c r="O272" s="36">
        <f t="shared" si="279"/>
        <v>3031.156543987403</v>
      </c>
      <c r="P272" s="36">
        <f t="shared" si="279"/>
        <v>2995.1795119071048</v>
      </c>
      <c r="Q272" s="36">
        <f t="shared" si="279"/>
        <v>2960.0817555599288</v>
      </c>
      <c r="R272" s="36">
        <f t="shared" ref="R272:T272" si="280">R270+R271</f>
        <v>2925.3952775670919</v>
      </c>
      <c r="S272" s="36">
        <f t="shared" si="280"/>
        <v>2891.1152585354935</v>
      </c>
      <c r="T272" s="36">
        <f t="shared" si="280"/>
        <v>2857.2369355460742</v>
      </c>
    </row>
    <row r="273" spans="1:20" x14ac:dyDescent="0.25">
      <c r="A273" s="21" t="s">
        <v>206</v>
      </c>
      <c r="B273" s="53">
        <v>0</v>
      </c>
      <c r="C273" s="38">
        <f>$C$134</f>
        <v>0.14516129032258066</v>
      </c>
      <c r="D273" s="38">
        <v>0</v>
      </c>
      <c r="E273" s="38">
        <v>0</v>
      </c>
      <c r="F273" s="38">
        <v>0</v>
      </c>
      <c r="G273" s="38">
        <v>0</v>
      </c>
      <c r="H273" s="38">
        <v>0</v>
      </c>
      <c r="I273" s="38">
        <v>0</v>
      </c>
      <c r="J273" s="38">
        <v>0</v>
      </c>
      <c r="K273" s="38">
        <f>K159</f>
        <v>0.18053544107041386</v>
      </c>
      <c r="L273" s="38">
        <f t="shared" ref="L273:Q273" si="281">L159</f>
        <v>0.18053544107041386</v>
      </c>
      <c r="M273" s="38">
        <f t="shared" si="281"/>
        <v>0.18053544107041386</v>
      </c>
      <c r="N273" s="38">
        <f t="shared" si="281"/>
        <v>0.18053544107041386</v>
      </c>
      <c r="O273" s="38">
        <f t="shared" si="281"/>
        <v>0.18053544107041386</v>
      </c>
      <c r="P273" s="38">
        <f t="shared" si="281"/>
        <v>0.18053544107041386</v>
      </c>
      <c r="Q273" s="38">
        <f t="shared" si="281"/>
        <v>0.18053544107041386</v>
      </c>
      <c r="R273" s="38">
        <f t="shared" ref="R273:T273" si="282">R159</f>
        <v>0.18053544107041386</v>
      </c>
      <c r="S273" s="38">
        <f t="shared" si="282"/>
        <v>0.18053544107041386</v>
      </c>
      <c r="T273" s="38">
        <f t="shared" si="282"/>
        <v>0.18053544107041386</v>
      </c>
    </row>
    <row r="274" spans="1:20" x14ac:dyDescent="0.25">
      <c r="A274" s="47" t="s">
        <v>205</v>
      </c>
      <c r="B274" s="53">
        <v>0</v>
      </c>
      <c r="C274" s="25">
        <f t="shared" ref="C274:Q274" si="283">C275-C272</f>
        <v>12.099056603773576</v>
      </c>
      <c r="D274" s="25">
        <f t="shared" si="283"/>
        <v>0</v>
      </c>
      <c r="E274" s="25">
        <f t="shared" si="283"/>
        <v>0</v>
      </c>
      <c r="F274" s="25">
        <f t="shared" si="283"/>
        <v>0</v>
      </c>
      <c r="G274" s="25">
        <f t="shared" si="283"/>
        <v>0</v>
      </c>
      <c r="H274" s="25">
        <f t="shared" si="283"/>
        <v>0</v>
      </c>
      <c r="I274" s="25">
        <f t="shared" si="283"/>
        <v>0</v>
      </c>
      <c r="J274" s="25">
        <f t="shared" si="283"/>
        <v>0</v>
      </c>
      <c r="K274" s="25">
        <f t="shared" si="283"/>
        <v>232.96604477284859</v>
      </c>
      <c r="L274" s="25">
        <f t="shared" si="283"/>
        <v>460.79871140241767</v>
      </c>
      <c r="M274" s="25">
        <f t="shared" si="283"/>
        <v>683.43342909445118</v>
      </c>
      <c r="N274" s="25">
        <f t="shared" si="283"/>
        <v>675.63650568814865</v>
      </c>
      <c r="O274" s="25">
        <f t="shared" si="283"/>
        <v>667.79115418615538</v>
      </c>
      <c r="P274" s="25">
        <f t="shared" si="283"/>
        <v>659.86508919134303</v>
      </c>
      <c r="Q274" s="25">
        <f t="shared" si="283"/>
        <v>652.13273657929631</v>
      </c>
      <c r="R274" s="25">
        <f t="shared" ref="R274:T274" si="284">R275-R272</f>
        <v>644.49099230203774</v>
      </c>
      <c r="S274" s="25">
        <f>S275-S272</f>
        <v>636.93879460375547</v>
      </c>
      <c r="T274" s="25">
        <f t="shared" si="284"/>
        <v>629.47509417037736</v>
      </c>
    </row>
    <row r="275" spans="1:20" x14ac:dyDescent="0.25">
      <c r="A275" s="93" t="s">
        <v>318</v>
      </c>
      <c r="B275" s="62">
        <v>0</v>
      </c>
      <c r="C275" s="33">
        <f t="shared" ref="C275:Q275" si="285">C272/(1-C273)*100/100</f>
        <v>83.349056603773576</v>
      </c>
      <c r="D275" s="33">
        <f t="shared" si="285"/>
        <v>0</v>
      </c>
      <c r="E275" s="33">
        <f t="shared" si="285"/>
        <v>0</v>
      </c>
      <c r="F275" s="33">
        <f t="shared" si="285"/>
        <v>0</v>
      </c>
      <c r="G275" s="33">
        <f t="shared" si="285"/>
        <v>0</v>
      </c>
      <c r="H275" s="33">
        <f t="shared" si="285"/>
        <v>0</v>
      </c>
      <c r="I275" s="33">
        <f t="shared" si="285"/>
        <v>0</v>
      </c>
      <c r="J275" s="33">
        <f t="shared" si="285"/>
        <v>0</v>
      </c>
      <c r="K275" s="33">
        <f t="shared" si="285"/>
        <v>1290.4172354833386</v>
      </c>
      <c r="L275" s="33">
        <f t="shared" si="285"/>
        <v>2552.4002858956273</v>
      </c>
      <c r="M275" s="33">
        <f t="shared" si="285"/>
        <v>3785.5914885315688</v>
      </c>
      <c r="N275" s="33">
        <f t="shared" si="285"/>
        <v>3742.4037168670502</v>
      </c>
      <c r="O275" s="33">
        <f t="shared" si="285"/>
        <v>3698.9476981735584</v>
      </c>
      <c r="P275" s="33">
        <f t="shared" si="285"/>
        <v>3655.0446010984479</v>
      </c>
      <c r="Q275" s="33">
        <f t="shared" si="285"/>
        <v>3612.2144921392251</v>
      </c>
      <c r="R275" s="33">
        <f t="shared" ref="R275:T275" si="286">R272/(1-R273)*100/100</f>
        <v>3569.8862698691296</v>
      </c>
      <c r="S275" s="33">
        <f t="shared" si="286"/>
        <v>3528.0540531392489</v>
      </c>
      <c r="T275" s="33">
        <f t="shared" si="286"/>
        <v>3486.7120297164515</v>
      </c>
    </row>
    <row r="276" spans="1:20" x14ac:dyDescent="0.25">
      <c r="A276" s="103"/>
      <c r="B276" s="103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</row>
    <row r="277" spans="1:20" ht="10.5" customHeight="1" x14ac:dyDescent="0.25"/>
    <row r="278" spans="1:20" x14ac:dyDescent="0.25">
      <c r="A278" s="26" t="s">
        <v>224</v>
      </c>
      <c r="B278" s="25">
        <f>B138+B144+B150+B156+B162+B168+B174+B180+B186+B192+B198+B204+B210+B216+B246+B252+B258+B264</f>
        <v>55710</v>
      </c>
      <c r="C278" s="25">
        <f t="shared" ref="C278" si="287">C138+C144+C150+C156+C162+C168+C174+C180+C186+C192+C198+C204+C210+C216+C246+C252+C258+C264</f>
        <v>66386.766828416119</v>
      </c>
      <c r="D278" s="25">
        <f>D138+D144+D150+D156+D162+D168+D174+D180+D186+D192+D198+D204+D210+D216+D222+D228+D234+D240+D246+D252+D258+D264+D270</f>
        <v>87389</v>
      </c>
      <c r="E278" s="45">
        <f t="shared" ref="E278:Q278" si="288">E138+E144+E150+E156+E162+E168+E174+E180+E186+E192+E198+E204+E210+E216+E222+E228+E234+E240+E246+E252+E258+E264+E270</f>
        <v>88541</v>
      </c>
      <c r="F278" s="25">
        <f t="shared" si="288"/>
        <v>87536.891685070193</v>
      </c>
      <c r="G278" s="25">
        <f t="shared" si="288"/>
        <v>86989.613774805286</v>
      </c>
      <c r="H278" s="25">
        <f t="shared" si="288"/>
        <v>86874.944929839417</v>
      </c>
      <c r="I278" s="25">
        <f t="shared" si="288"/>
        <v>86603.809088797134</v>
      </c>
      <c r="J278" s="25">
        <f t="shared" si="288"/>
        <v>86534.966822861563</v>
      </c>
      <c r="K278" s="25">
        <f t="shared" si="288"/>
        <v>87310.331711946608</v>
      </c>
      <c r="L278" s="25">
        <f t="shared" si="288"/>
        <v>88052.715150005373</v>
      </c>
      <c r="M278" s="25">
        <f t="shared" si="288"/>
        <v>88354.146481295174</v>
      </c>
      <c r="N278" s="25">
        <f t="shared" si="288"/>
        <v>87405.417058826541</v>
      </c>
      <c r="O278" s="25">
        <f t="shared" si="288"/>
        <v>86450.794907025847</v>
      </c>
      <c r="P278" s="25">
        <f t="shared" si="288"/>
        <v>85486.351539671625</v>
      </c>
      <c r="Q278" s="25">
        <f t="shared" si="288"/>
        <v>84545.479089645814</v>
      </c>
      <c r="R278" s="25">
        <f t="shared" ref="R278:T278" si="289">R138+R144+R150+R156+R162+R168+R174+R180+R186+R192+R198+R204+R210+R216+R222+R228+R234+R240+R246+R252+R258+R264+R270</f>
        <v>83615.631859268295</v>
      </c>
      <c r="S278" s="25">
        <f t="shared" si="289"/>
        <v>82696.68065412133</v>
      </c>
      <c r="T278" s="25">
        <f t="shared" si="289"/>
        <v>81788.497793697985</v>
      </c>
    </row>
    <row r="279" spans="1:20" ht="17.25" customHeight="1" x14ac:dyDescent="0.25">
      <c r="A279" s="21" t="s">
        <v>320</v>
      </c>
      <c r="B279" s="25"/>
      <c r="C279" s="25"/>
      <c r="D279" s="25">
        <f>D278-D280</f>
        <v>60104</v>
      </c>
      <c r="E279" s="25">
        <f t="shared" ref="E279:Q279" si="290">E278-E280</f>
        <v>62260</v>
      </c>
      <c r="F279" s="25">
        <f t="shared" si="290"/>
        <v>61515.982789094604</v>
      </c>
      <c r="G279" s="25">
        <f t="shared" si="290"/>
        <v>61245.819677586282</v>
      </c>
      <c r="H279" s="25">
        <f t="shared" si="290"/>
        <v>60785.017447508202</v>
      </c>
      <c r="I279" s="25">
        <f t="shared" si="290"/>
        <v>60177.499134698162</v>
      </c>
      <c r="J279" s="25">
        <f t="shared" si="290"/>
        <v>59577.435034315218</v>
      </c>
      <c r="K279" s="25">
        <f t="shared" si="290"/>
        <v>60039.791599594202</v>
      </c>
      <c r="L279" s="25">
        <f t="shared" si="290"/>
        <v>60481.33209542113</v>
      </c>
      <c r="M279" s="25">
        <f t="shared" si="290"/>
        <v>60894.309217457805</v>
      </c>
      <c r="N279" s="25">
        <f t="shared" si="290"/>
        <v>60258.854268816642</v>
      </c>
      <c r="O279" s="25">
        <f t="shared" si="290"/>
        <v>59619.452395028682</v>
      </c>
      <c r="P279" s="25">
        <f t="shared" si="290"/>
        <v>58973.472312662634</v>
      </c>
      <c r="Q279" s="25">
        <f t="shared" si="290"/>
        <v>58343.279930883931</v>
      </c>
      <c r="R279" s="25">
        <f t="shared" ref="R279:T279" si="291">R278-R280</f>
        <v>57720.472194526199</v>
      </c>
      <c r="S279" s="25">
        <f t="shared" si="291"/>
        <v>57104.962569715652</v>
      </c>
      <c r="T279" s="25">
        <f t="shared" si="291"/>
        <v>56496.665536589571</v>
      </c>
    </row>
    <row r="280" spans="1:20" ht="16.5" customHeight="1" x14ac:dyDescent="0.25">
      <c r="A280" s="21" t="s">
        <v>321</v>
      </c>
      <c r="B280" s="25"/>
      <c r="C280" s="25"/>
      <c r="D280" s="25">
        <f>D222+D228+D234+D240</f>
        <v>27285</v>
      </c>
      <c r="E280" s="25">
        <f t="shared" ref="E280:Q280" si="292">E222+E228+E234+E240</f>
        <v>26281</v>
      </c>
      <c r="F280" s="25">
        <f t="shared" si="292"/>
        <v>26020.90889597559</v>
      </c>
      <c r="G280" s="25">
        <f t="shared" si="292"/>
        <v>25743.794097219004</v>
      </c>
      <c r="H280" s="25">
        <f t="shared" si="292"/>
        <v>26089.927482331212</v>
      </c>
      <c r="I280" s="25">
        <f t="shared" si="292"/>
        <v>26426.309954098972</v>
      </c>
      <c r="J280" s="25">
        <f t="shared" si="292"/>
        <v>26957.531788546341</v>
      </c>
      <c r="K280" s="25">
        <f t="shared" si="292"/>
        <v>27270.54011235241</v>
      </c>
      <c r="L280" s="25">
        <f t="shared" si="292"/>
        <v>27571.383054584243</v>
      </c>
      <c r="M280" s="25">
        <f t="shared" si="292"/>
        <v>27459.837263837366</v>
      </c>
      <c r="N280" s="25">
        <f t="shared" si="292"/>
        <v>27146.562790009899</v>
      </c>
      <c r="O280" s="25">
        <f t="shared" si="292"/>
        <v>26831.342511997162</v>
      </c>
      <c r="P280" s="25">
        <f t="shared" si="292"/>
        <v>26512.879227008994</v>
      </c>
      <c r="Q280" s="25">
        <f t="shared" si="292"/>
        <v>26202.19915876188</v>
      </c>
      <c r="R280" s="25">
        <f t="shared" ref="R280:T280" si="293">R222+R228+R234+R240</f>
        <v>25895.159664742092</v>
      </c>
      <c r="S280" s="25">
        <f t="shared" si="293"/>
        <v>25591.718084405678</v>
      </c>
      <c r="T280" s="25">
        <f t="shared" si="293"/>
        <v>25291.832257108417</v>
      </c>
    </row>
    <row r="281" spans="1:20" x14ac:dyDescent="0.25">
      <c r="A281" s="26" t="s">
        <v>225</v>
      </c>
      <c r="B281" s="25">
        <f>B139+B145+B151+B157+B163+B169+B175+B181+B187+B193+B199+B205+B211+B217+B247+B253+B259+B265</f>
        <v>23330</v>
      </c>
      <c r="C281" s="25">
        <f t="shared" ref="C281" si="294">C139+C145+C151+C157+C163+C169+C175+C181+C187+C193+C199+C205+C211+C217+C247+C253+C259+C265</f>
        <v>24353</v>
      </c>
      <c r="D281" s="25">
        <f>D139+D145+D151+D157+D163+D169+D175+D181+D187+D193+D199+D205+D211+D217+D223+D229+D235+D241+D247+D253+D259+D265+D271</f>
        <v>34440</v>
      </c>
      <c r="E281" s="45">
        <f t="shared" ref="E281:P281" si="295">E139+E145+E151+E157+E163+E169+E175+E181+E187+E193+E199+E205+E211+E217+E223+E229+E235+E241+E247+E253+E259+E265+E271</f>
        <v>35924</v>
      </c>
      <c r="F281" s="25">
        <f t="shared" si="295"/>
        <v>36339.5</v>
      </c>
      <c r="G281" s="25">
        <f t="shared" si="295"/>
        <v>36339.5</v>
      </c>
      <c r="H281" s="25">
        <f t="shared" si="295"/>
        <v>36339.5</v>
      </c>
      <c r="I281" s="25">
        <f t="shared" si="295"/>
        <v>36339.5</v>
      </c>
      <c r="J281" s="25">
        <f t="shared" si="295"/>
        <v>36736.5</v>
      </c>
      <c r="K281" s="25">
        <f t="shared" si="295"/>
        <v>37083.5</v>
      </c>
      <c r="L281" s="25">
        <f t="shared" si="295"/>
        <v>37381.5</v>
      </c>
      <c r="M281" s="25">
        <f t="shared" si="295"/>
        <v>37381.5</v>
      </c>
      <c r="N281" s="25">
        <f t="shared" si="295"/>
        <v>37381.5</v>
      </c>
      <c r="O281" s="25">
        <f t="shared" si="295"/>
        <v>37381.5</v>
      </c>
      <c r="P281" s="25">
        <f t="shared" si="295"/>
        <v>37381.5</v>
      </c>
      <c r="Q281" s="25">
        <f>Q139+Q145+Q151+Q157+Q163+Q169+Q175+Q181+Q187+Q193+Q199+Q205+Q211+Q217+Q223+Q229+Q235+Q241+Q247+Q253+Q259+Q265+Q271</f>
        <v>37381.5</v>
      </c>
      <c r="R281" s="25">
        <f t="shared" ref="R281:T281" si="296">R139+R145+R151+R157+R163+R169+R175+R181+R187+R193+R199+R205+R211+R217+R223+R229+R235+R241+R247+R253+R259+R265+R271</f>
        <v>37381.5</v>
      </c>
      <c r="S281" s="25">
        <f t="shared" si="296"/>
        <v>37381.5</v>
      </c>
      <c r="T281" s="25">
        <f t="shared" si="296"/>
        <v>37381.5</v>
      </c>
    </row>
    <row r="282" spans="1:20" ht="14.25" customHeight="1" x14ac:dyDescent="0.25">
      <c r="A282" s="21" t="s">
        <v>320</v>
      </c>
      <c r="B282" s="25"/>
      <c r="C282" s="25"/>
      <c r="D282" s="25">
        <f>D281-D283</f>
        <v>30650</v>
      </c>
      <c r="E282" s="25">
        <f t="shared" ref="E282:Q282" si="297">E281-E283</f>
        <v>31508</v>
      </c>
      <c r="F282" s="25">
        <f t="shared" si="297"/>
        <v>31923.5</v>
      </c>
      <c r="G282" s="25">
        <f t="shared" si="297"/>
        <v>31923.5</v>
      </c>
      <c r="H282" s="25">
        <f t="shared" si="297"/>
        <v>31923.5</v>
      </c>
      <c r="I282" s="25">
        <f t="shared" si="297"/>
        <v>31923.5</v>
      </c>
      <c r="J282" s="25">
        <f t="shared" si="297"/>
        <v>32320.5</v>
      </c>
      <c r="K282" s="25">
        <f t="shared" si="297"/>
        <v>32667.5</v>
      </c>
      <c r="L282" s="25">
        <f t="shared" si="297"/>
        <v>32965.5</v>
      </c>
      <c r="M282" s="25">
        <f t="shared" si="297"/>
        <v>32965.5</v>
      </c>
      <c r="N282" s="25">
        <f t="shared" si="297"/>
        <v>32965.5</v>
      </c>
      <c r="O282" s="25">
        <f t="shared" si="297"/>
        <v>32965.5</v>
      </c>
      <c r="P282" s="25">
        <f>P281-P283</f>
        <v>32965.5</v>
      </c>
      <c r="Q282" s="25">
        <f t="shared" si="297"/>
        <v>32965.5</v>
      </c>
      <c r="R282" s="25">
        <f t="shared" ref="R282:T282" si="298">R281-R283</f>
        <v>32965.5</v>
      </c>
      <c r="S282" s="25">
        <f t="shared" si="298"/>
        <v>32965.5</v>
      </c>
      <c r="T282" s="25">
        <f t="shared" si="298"/>
        <v>32965.5</v>
      </c>
    </row>
    <row r="283" spans="1:20" ht="15" customHeight="1" x14ac:dyDescent="0.25">
      <c r="A283" s="21" t="s">
        <v>321</v>
      </c>
      <c r="B283" s="25"/>
      <c r="C283" s="25"/>
      <c r="D283" s="25">
        <f>D223+D229+D235+D241</f>
        <v>3790</v>
      </c>
      <c r="E283" s="25">
        <f t="shared" ref="E283:T283" si="299">E223+E229+E235+E241</f>
        <v>4416</v>
      </c>
      <c r="F283" s="25">
        <f t="shared" si="299"/>
        <v>4416</v>
      </c>
      <c r="G283" s="25">
        <f t="shared" si="299"/>
        <v>4416</v>
      </c>
      <c r="H283" s="25">
        <f t="shared" si="299"/>
        <v>4416</v>
      </c>
      <c r="I283" s="25">
        <f t="shared" si="299"/>
        <v>4416</v>
      </c>
      <c r="J283" s="25">
        <f t="shared" si="299"/>
        <v>4416</v>
      </c>
      <c r="K283" s="25">
        <f t="shared" si="299"/>
        <v>4416</v>
      </c>
      <c r="L283" s="25">
        <f t="shared" si="299"/>
        <v>4416</v>
      </c>
      <c r="M283" s="25">
        <f t="shared" si="299"/>
        <v>4416</v>
      </c>
      <c r="N283" s="25">
        <f t="shared" si="299"/>
        <v>4416</v>
      </c>
      <c r="O283" s="25">
        <f t="shared" si="299"/>
        <v>4416</v>
      </c>
      <c r="P283" s="25">
        <f t="shared" si="299"/>
        <v>4416</v>
      </c>
      <c r="Q283" s="25">
        <f t="shared" si="299"/>
        <v>4416</v>
      </c>
      <c r="R283" s="25">
        <f t="shared" si="299"/>
        <v>4416</v>
      </c>
      <c r="S283" s="25">
        <f t="shared" si="299"/>
        <v>4416</v>
      </c>
      <c r="T283" s="25">
        <f t="shared" si="299"/>
        <v>4416</v>
      </c>
    </row>
    <row r="284" spans="1:20" x14ac:dyDescent="0.25">
      <c r="A284" s="31" t="s">
        <v>226</v>
      </c>
      <c r="B284" s="70">
        <f>B278+B281</f>
        <v>79040</v>
      </c>
      <c r="C284" s="70">
        <f t="shared" ref="C284:P284" si="300">C278+C281</f>
        <v>90739.766828416119</v>
      </c>
      <c r="D284" s="71">
        <f t="shared" si="300"/>
        <v>121829</v>
      </c>
      <c r="E284" s="25">
        <f t="shared" si="300"/>
        <v>124465</v>
      </c>
      <c r="F284" s="25">
        <f t="shared" si="300"/>
        <v>123876.39168507019</v>
      </c>
      <c r="G284" s="25">
        <f t="shared" si="300"/>
        <v>123329.11377480529</v>
      </c>
      <c r="H284" s="25">
        <f t="shared" si="300"/>
        <v>123214.44492983942</v>
      </c>
      <c r="I284" s="25">
        <f t="shared" si="300"/>
        <v>122943.30908879713</v>
      </c>
      <c r="J284" s="25">
        <f t="shared" si="300"/>
        <v>123271.46682286156</v>
      </c>
      <c r="K284" s="25">
        <f t="shared" si="300"/>
        <v>124393.83171194661</v>
      </c>
      <c r="L284" s="25">
        <f t="shared" si="300"/>
        <v>125434.21515000537</v>
      </c>
      <c r="M284" s="25">
        <f t="shared" si="300"/>
        <v>125735.64648129517</v>
      </c>
      <c r="N284" s="25">
        <f t="shared" si="300"/>
        <v>124786.91705882654</v>
      </c>
      <c r="O284" s="25">
        <f t="shared" si="300"/>
        <v>123832.29490702585</v>
      </c>
      <c r="P284" s="25">
        <f t="shared" si="300"/>
        <v>122867.85153967162</v>
      </c>
      <c r="Q284" s="25">
        <f t="shared" ref="Q284:T284" si="301">Q278+Q281</f>
        <v>121926.97908964581</v>
      </c>
      <c r="R284" s="25">
        <f t="shared" si="301"/>
        <v>120997.13185926829</v>
      </c>
      <c r="S284" s="25">
        <f t="shared" si="301"/>
        <v>120078.18065412133</v>
      </c>
      <c r="T284" s="25">
        <f t="shared" si="301"/>
        <v>119169.99779369798</v>
      </c>
    </row>
    <row r="285" spans="1:20" x14ac:dyDescent="0.25">
      <c r="A285" s="31" t="s">
        <v>227</v>
      </c>
      <c r="B285" s="25">
        <f>B143+B149+B155+B161+B167+B173+B179+B185+B191+B197+B203+B209+B215+B221+B251+B257+B263+B269</f>
        <v>85895.75974125613</v>
      </c>
      <c r="C285" s="25">
        <f t="shared" ref="C285" si="302">C143+C149+C155+C161+C167+C173+C179+C185+C191+C197+C203+C209+C215+C221+C251+C257+C263+C269</f>
        <v>99380.044604908442</v>
      </c>
      <c r="D285" s="25">
        <f>D143+D149+D155+D161+D167+D173+D179+D185+D191+D197+D203+D209+D215+D221+D227+D233+D239+D245+D251+D257+D263+D269+D275</f>
        <v>169698.89361702127</v>
      </c>
      <c r="E285" s="25">
        <f t="shared" ref="E285:Q285" si="303">E143+E149+E155+E161+E167+E173+E179+E185+E191+E197+E203+E209+E215+E221+E227+E233+E239+E245+E251+E257+E263+E269+E275</f>
        <v>159318.69811320756</v>
      </c>
      <c r="F285" s="25">
        <f t="shared" si="303"/>
        <v>156888.53909362407</v>
      </c>
      <c r="G285" s="25">
        <f t="shared" si="303"/>
        <v>150600.41498907341</v>
      </c>
      <c r="H285" s="25">
        <f>H143+H149+H155+H161+H167+H173+H179+H185+H191+H197+H203+H209+H215+H221+H227+H233+H239+H245+H251+H257+H263+H269+H275</f>
        <v>146518.02251809789</v>
      </c>
      <c r="I285" s="25">
        <f t="shared" si="303"/>
        <v>145480.72526014017</v>
      </c>
      <c r="J285" s="25">
        <f t="shared" si="303"/>
        <v>145549.58760186634</v>
      </c>
      <c r="K285" s="25">
        <f t="shared" si="303"/>
        <v>146871.49678911385</v>
      </c>
      <c r="L285" s="25">
        <f t="shared" si="303"/>
        <v>148144.72332925911</v>
      </c>
      <c r="M285" s="25">
        <f t="shared" si="303"/>
        <v>148525.92800945733</v>
      </c>
      <c r="N285" s="25">
        <f t="shared" si="303"/>
        <v>147403.5835127203</v>
      </c>
      <c r="O285" s="25">
        <f t="shared" si="303"/>
        <v>146274.26793215246</v>
      </c>
      <c r="P285" s="25">
        <f t="shared" si="303"/>
        <v>145133.33387853365</v>
      </c>
      <c r="Q285" s="25">
        <f t="shared" si="303"/>
        <v>144020.28416023741</v>
      </c>
      <c r="R285" s="25">
        <f t="shared" ref="R285:T285" si="304">R143+R149+R155+R161+R167+R173+R179+R185+R191+R197+R203+R209+R215+R221+R227+R233+R239+R245+R251+R257+R263+R269+R275</f>
        <v>142920.27724877786</v>
      </c>
      <c r="S285" s="25">
        <f t="shared" si="304"/>
        <v>141833.16030748712</v>
      </c>
      <c r="T285" s="25">
        <f t="shared" si="304"/>
        <v>140758.78229064972</v>
      </c>
    </row>
    <row r="286" spans="1:20" x14ac:dyDescent="0.25">
      <c r="A286" s="21" t="s">
        <v>228</v>
      </c>
      <c r="B286" s="25">
        <f>B285-B284</f>
        <v>6855.7597412561299</v>
      </c>
      <c r="C286" s="25">
        <f t="shared" ref="C286:P286" si="305">C285-C284</f>
        <v>8640.277776492323</v>
      </c>
      <c r="D286" s="25">
        <f t="shared" si="305"/>
        <v>47869.893617021269</v>
      </c>
      <c r="E286" s="25">
        <f t="shared" si="305"/>
        <v>34853.69811320756</v>
      </c>
      <c r="F286" s="25">
        <f t="shared" si="305"/>
        <v>33012.147408553879</v>
      </c>
      <c r="G286" s="25">
        <f t="shared" si="305"/>
        <v>27271.301214268125</v>
      </c>
      <c r="H286" s="25">
        <f t="shared" si="305"/>
        <v>23303.577588258471</v>
      </c>
      <c r="I286" s="25">
        <f t="shared" si="305"/>
        <v>22537.416171343037</v>
      </c>
      <c r="J286" s="25">
        <f t="shared" si="305"/>
        <v>22278.120779004777</v>
      </c>
      <c r="K286" s="25">
        <f t="shared" si="305"/>
        <v>22477.665077167243</v>
      </c>
      <c r="L286" s="25">
        <f t="shared" si="305"/>
        <v>22710.508179253738</v>
      </c>
      <c r="M286" s="25">
        <f t="shared" si="305"/>
        <v>22790.281528162159</v>
      </c>
      <c r="N286" s="25">
        <f t="shared" si="305"/>
        <v>22616.666453893762</v>
      </c>
      <c r="O286" s="25">
        <f t="shared" si="305"/>
        <v>22441.973025126616</v>
      </c>
      <c r="P286" s="25">
        <f t="shared" si="305"/>
        <v>22265.482338862028</v>
      </c>
      <c r="Q286" s="25">
        <f t="shared" ref="Q286:T286" si="306">Q285-Q284</f>
        <v>22093.305070591596</v>
      </c>
      <c r="R286" s="25">
        <f t="shared" si="306"/>
        <v>21923.145389509562</v>
      </c>
      <c r="S286" s="25">
        <f t="shared" si="306"/>
        <v>21754.979653365794</v>
      </c>
      <c r="T286" s="25">
        <f t="shared" si="306"/>
        <v>21588.784496951732</v>
      </c>
    </row>
    <row r="287" spans="1:20" x14ac:dyDescent="0.25">
      <c r="A287" s="23" t="s">
        <v>238</v>
      </c>
      <c r="B287" s="37">
        <f>B286/B285</f>
        <v>7.9814879825357399E-2</v>
      </c>
      <c r="C287" s="37">
        <f t="shared" ref="C287:P287" si="307">C286/C285</f>
        <v>8.6941778008274045E-2</v>
      </c>
      <c r="D287" s="37">
        <f t="shared" si="307"/>
        <v>0.2820872463968721</v>
      </c>
      <c r="E287" s="37">
        <f t="shared" si="307"/>
        <v>0.2187671536735849</v>
      </c>
      <c r="F287" s="37">
        <f t="shared" si="307"/>
        <v>0.21041783930981539</v>
      </c>
      <c r="G287" s="37">
        <f t="shared" si="307"/>
        <v>0.18108383842266806</v>
      </c>
      <c r="H287" s="37">
        <f>H286/H285</f>
        <v>0.15904922266733443</v>
      </c>
      <c r="I287" s="37">
        <f t="shared" si="307"/>
        <v>0.15491685328790422</v>
      </c>
      <c r="J287" s="37">
        <f t="shared" si="307"/>
        <v>0.15306206734122765</v>
      </c>
      <c r="K287" s="37">
        <f t="shared" si="307"/>
        <v>0.15304307213156482</v>
      </c>
      <c r="L287" s="37">
        <f t="shared" si="307"/>
        <v>0.15329947411477146</v>
      </c>
      <c r="M287" s="37">
        <f t="shared" si="307"/>
        <v>0.15344311820567111</v>
      </c>
      <c r="N287" s="37">
        <f t="shared" si="307"/>
        <v>0.15343362701858629</v>
      </c>
      <c r="O287" s="37">
        <f t="shared" si="307"/>
        <v>0.15342392987080988</v>
      </c>
      <c r="P287" s="37">
        <f t="shared" si="307"/>
        <v>0.1534139797098347</v>
      </c>
      <c r="Q287" s="37">
        <f t="shared" ref="Q287:T287" si="308">Q286/Q285</f>
        <v>0.15340412081127763</v>
      </c>
      <c r="R287" s="37">
        <f t="shared" si="308"/>
        <v>0.15339422656834395</v>
      </c>
      <c r="S287" s="37">
        <f t="shared" si="308"/>
        <v>0.15338429748164742</v>
      </c>
      <c r="T287" s="37">
        <f t="shared" si="308"/>
        <v>0.15337433406019046</v>
      </c>
    </row>
    <row r="288" spans="1:20" ht="15.75" customHeight="1" x14ac:dyDescent="0.25"/>
    <row r="289" spans="1:1" hidden="1" x14ac:dyDescent="0.25">
      <c r="A289" s="56" t="s">
        <v>245</v>
      </c>
    </row>
  </sheetData>
  <sheetProtection algorithmName="SHA-512" hashValue="xcHSTBrrCzsLqYxHROLzps2dsCYKrzbpPebQ9Eaw4CCXSf1SP02CpYXm2xaVQIK9sLAWFFsS2m/MDujTRI+n9w==" saltValue="HKJ7p9dDmIhNYNwCWq1mnA==" spinCount="100000" sheet="1" objects="1" scenarios="1" selectLockedCells="1" selectUnlockedCells="1"/>
  <pageMargins left="0.7" right="0.7" top="0.75" bottom="0.75" header="0.3" footer="0.3"/>
  <pageSetup paperSize="9" orientation="portrait" r:id="rId1"/>
  <ignoredErrors>
    <ignoredError sqref="D195 E153 E159 E177 E183 F171 F165 E189 E201 F200:H200 I200:Q200 E207 E219 G243 G242 G236:G237 D281 G218 H218:Q2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1"/>
  <sheetViews>
    <sheetView tabSelected="1" zoomScale="90" zoomScaleNormal="90" workbookViewId="0">
      <selection activeCell="V8" sqref="V8"/>
    </sheetView>
  </sheetViews>
  <sheetFormatPr defaultRowHeight="15" x14ac:dyDescent="0.25"/>
  <cols>
    <col min="1" max="1" width="51.42578125" customWidth="1"/>
    <col min="2" max="2" width="10.85546875" hidden="1" customWidth="1"/>
    <col min="3" max="3" width="0.140625" hidden="1" customWidth="1"/>
    <col min="4" max="4" width="9.5703125" hidden="1" customWidth="1"/>
    <col min="5" max="5" width="9.42578125" hidden="1" customWidth="1"/>
    <col min="6" max="7" width="9.5703125" hidden="1" customWidth="1"/>
    <col min="8" max="16" width="9.5703125" bestFit="1" customWidth="1"/>
  </cols>
  <sheetData>
    <row r="1" spans="1:20" x14ac:dyDescent="0.25">
      <c r="A1" s="32"/>
      <c r="B1" s="51"/>
      <c r="C1" s="51"/>
    </row>
    <row r="2" spans="1:20" x14ac:dyDescent="0.25">
      <c r="A2" s="31" t="s">
        <v>332</v>
      </c>
      <c r="B2" s="26">
        <v>2014</v>
      </c>
      <c r="C2" s="26">
        <f>B2+1</f>
        <v>2015</v>
      </c>
      <c r="D2" s="26">
        <f>C2+1</f>
        <v>2016</v>
      </c>
      <c r="E2" s="26">
        <f t="shared" ref="E2" si="0">D2+1</f>
        <v>2017</v>
      </c>
      <c r="F2" s="26">
        <f>E2+1</f>
        <v>2018</v>
      </c>
      <c r="G2" s="26">
        <f t="shared" ref="G2:O2" si="1">F2+1</f>
        <v>2019</v>
      </c>
      <c r="H2" s="26">
        <f t="shared" si="1"/>
        <v>2020</v>
      </c>
      <c r="I2" s="26">
        <f t="shared" si="1"/>
        <v>2021</v>
      </c>
      <c r="J2" s="26">
        <f t="shared" si="1"/>
        <v>2022</v>
      </c>
      <c r="K2" s="26">
        <f t="shared" si="1"/>
        <v>2023</v>
      </c>
      <c r="L2" s="26">
        <f t="shared" si="1"/>
        <v>2024</v>
      </c>
      <c r="M2" s="26">
        <f t="shared" si="1"/>
        <v>2025</v>
      </c>
      <c r="N2" s="26">
        <f t="shared" si="1"/>
        <v>2026</v>
      </c>
      <c r="O2" s="26">
        <f t="shared" si="1"/>
        <v>2027</v>
      </c>
      <c r="P2" s="26">
        <f>O2+1</f>
        <v>2028</v>
      </c>
      <c r="Q2" s="26">
        <f>P2+1</f>
        <v>2029</v>
      </c>
      <c r="R2" s="26">
        <f t="shared" ref="R2:T2" si="2">Q2+1</f>
        <v>2030</v>
      </c>
      <c r="S2" s="26">
        <f t="shared" si="2"/>
        <v>2031</v>
      </c>
      <c r="T2" s="26">
        <f t="shared" si="2"/>
        <v>2032</v>
      </c>
    </row>
    <row r="3" spans="1:20" x14ac:dyDescent="0.25">
      <c r="A3" s="52" t="s">
        <v>167</v>
      </c>
      <c r="B3" s="25">
        <f>'Majapidamiste nõudlus asulates'!D137</f>
        <v>2500</v>
      </c>
      <c r="C3" s="25">
        <f>'Majapidamiste nõudlus asulates'!E137</f>
        <v>3069.9120055288704</v>
      </c>
      <c r="D3" s="25">
        <f>'Majapidamiste nõudlus asulates'!F137</f>
        <v>2357</v>
      </c>
      <c r="E3" s="25">
        <f>'Majapidamiste nõudlus asulates'!G137</f>
        <v>3193</v>
      </c>
      <c r="F3" s="25">
        <f>'Majapidamiste nõudlus asulates'!H137</f>
        <v>2756.6405999999997</v>
      </c>
      <c r="G3" s="25">
        <f>'Majapidamiste nõudlus asulates'!I137</f>
        <v>2818.1926529344614</v>
      </c>
      <c r="H3" s="25">
        <f>'Majapidamiste nõudlus asulates'!J137</f>
        <v>2787.2960622475889</v>
      </c>
      <c r="I3" s="25">
        <f>'Majapidamiste nõudlus asulates'!K137</f>
        <v>2756.8355121550871</v>
      </c>
      <c r="J3" s="25">
        <f>'Majapidamiste nõudlus asulates'!L137</f>
        <v>2726.7487111434752</v>
      </c>
      <c r="K3" s="25">
        <f>'Majapidamiste nõudlus asulates'!M137</f>
        <v>2696.9110761857901</v>
      </c>
      <c r="L3" s="25">
        <f>'Majapidamiste nõudlus asulates'!N137</f>
        <v>2667.198024255068</v>
      </c>
      <c r="M3" s="25">
        <f>'Majapidamiste nõudlus asulates'!O137</f>
        <v>2637.2358062704188</v>
      </c>
      <c r="N3" s="25">
        <f>'Majapidamiste nõudlus asulates'!P137</f>
        <v>2607.1490052588069</v>
      </c>
      <c r="O3" s="25">
        <f>'Majapidamiste nõudlus asulates'!Q137</f>
        <v>2576.8753297067501</v>
      </c>
      <c r="P3" s="25">
        <f>'Majapidamiste nõudlus asulates'!R137</f>
        <v>2546.2901965872857</v>
      </c>
      <c r="Q3" s="25">
        <f>'Majapidamiste nõudlus asulates'!S137</f>
        <v>2516.4525616296</v>
      </c>
      <c r="R3" s="25">
        <f>'Majapidamiste nõudlus asulates'!T137</f>
        <v>2486.9645664973605</v>
      </c>
      <c r="S3" s="25">
        <f>'Majapidamiste nõudlus asulates'!U137</f>
        <v>2457.822114082745</v>
      </c>
      <c r="T3" s="25">
        <f>'Majapidamiste nõudlus asulates'!V137</f>
        <v>2429.0211552881751</v>
      </c>
    </row>
    <row r="4" spans="1:20" x14ac:dyDescent="0.25">
      <c r="A4" s="48" t="s">
        <v>168</v>
      </c>
      <c r="B4" s="25">
        <v>0</v>
      </c>
      <c r="C4" s="25">
        <v>0</v>
      </c>
      <c r="D4" s="25">
        <v>485</v>
      </c>
      <c r="E4" s="25">
        <v>457</v>
      </c>
      <c r="F4" s="25">
        <f>E4</f>
        <v>457</v>
      </c>
      <c r="G4" s="25">
        <f t="shared" ref="G4:O4" si="3">F4</f>
        <v>457</v>
      </c>
      <c r="H4" s="25">
        <f t="shared" si="3"/>
        <v>457</v>
      </c>
      <c r="I4" s="25">
        <f t="shared" si="3"/>
        <v>457</v>
      </c>
      <c r="J4" s="25">
        <f t="shared" si="3"/>
        <v>457</v>
      </c>
      <c r="K4" s="25">
        <f t="shared" si="3"/>
        <v>457</v>
      </c>
      <c r="L4" s="25">
        <f t="shared" si="3"/>
        <v>457</v>
      </c>
      <c r="M4" s="25">
        <f t="shared" si="3"/>
        <v>457</v>
      </c>
      <c r="N4" s="25">
        <f t="shared" si="3"/>
        <v>457</v>
      </c>
      <c r="O4" s="25">
        <f t="shared" si="3"/>
        <v>457</v>
      </c>
      <c r="P4" s="25">
        <f>O4</f>
        <v>457</v>
      </c>
      <c r="Q4" s="25">
        <f>P4</f>
        <v>457</v>
      </c>
      <c r="R4" s="25">
        <f t="shared" ref="R4:T4" si="4">Q4</f>
        <v>457</v>
      </c>
      <c r="S4" s="25">
        <f t="shared" si="4"/>
        <v>457</v>
      </c>
      <c r="T4" s="25">
        <f t="shared" si="4"/>
        <v>457</v>
      </c>
    </row>
    <row r="5" spans="1:20" x14ac:dyDescent="0.25">
      <c r="A5" s="52" t="s">
        <v>207</v>
      </c>
      <c r="B5" s="25">
        <f>B3+B4</f>
        <v>2500</v>
      </c>
      <c r="C5" s="25">
        <f t="shared" ref="C5:O5" si="5">C3+C4</f>
        <v>3069.9120055288704</v>
      </c>
      <c r="D5" s="25">
        <f t="shared" si="5"/>
        <v>2842</v>
      </c>
      <c r="E5" s="25">
        <f t="shared" si="5"/>
        <v>3650</v>
      </c>
      <c r="F5" s="25">
        <f t="shared" si="5"/>
        <v>3213.6405999999997</v>
      </c>
      <c r="G5" s="25">
        <f t="shared" si="5"/>
        <v>3275.1926529344614</v>
      </c>
      <c r="H5" s="109">
        <f>H3+H4</f>
        <v>3244.2960622475889</v>
      </c>
      <c r="I5" s="109">
        <f t="shared" si="5"/>
        <v>3213.8355121550871</v>
      </c>
      <c r="J5" s="109">
        <f t="shared" si="5"/>
        <v>3183.7487111434752</v>
      </c>
      <c r="K5" s="109">
        <f t="shared" si="5"/>
        <v>3153.9110761857901</v>
      </c>
      <c r="L5" s="109">
        <f t="shared" si="5"/>
        <v>3124.198024255068</v>
      </c>
      <c r="M5" s="109">
        <f t="shared" si="5"/>
        <v>3094.2358062704188</v>
      </c>
      <c r="N5" s="109">
        <f t="shared" si="5"/>
        <v>3064.1490052588069</v>
      </c>
      <c r="O5" s="109">
        <f t="shared" si="5"/>
        <v>3033.8753297067501</v>
      </c>
      <c r="P5" s="109">
        <f>P3+P4</f>
        <v>3003.2901965872857</v>
      </c>
      <c r="Q5" s="109">
        <f>Q3+Q4</f>
        <v>2973.4525616296</v>
      </c>
      <c r="R5" s="109">
        <f t="shared" ref="R5:T5" si="6">R3+R4</f>
        <v>2943.9645664973605</v>
      </c>
      <c r="S5" s="109">
        <f t="shared" si="6"/>
        <v>2914.822114082745</v>
      </c>
      <c r="T5" s="109">
        <f t="shared" si="6"/>
        <v>2886.0211552881751</v>
      </c>
    </row>
    <row r="6" spans="1:20" x14ac:dyDescent="0.25">
      <c r="A6" s="53" t="s">
        <v>231</v>
      </c>
      <c r="B6" s="38">
        <v>0.3</v>
      </c>
      <c r="C6" s="38">
        <f>B6</f>
        <v>0.3</v>
      </c>
      <c r="D6" s="30">
        <v>0.6</v>
      </c>
      <c r="E6" s="38">
        <f t="shared" ref="E6:G6" si="7">D6</f>
        <v>0.6</v>
      </c>
      <c r="F6" s="38">
        <f t="shared" si="7"/>
        <v>0.6</v>
      </c>
      <c r="G6" s="38">
        <f t="shared" si="7"/>
        <v>0.6</v>
      </c>
      <c r="H6" s="128">
        <f>G6-20%</f>
        <v>0.39999999999999997</v>
      </c>
      <c r="I6" s="128">
        <v>0.35</v>
      </c>
      <c r="J6" s="128">
        <f t="shared" ref="J6:O6" si="8">I6</f>
        <v>0.35</v>
      </c>
      <c r="K6" s="128">
        <f t="shared" si="8"/>
        <v>0.35</v>
      </c>
      <c r="L6" s="128">
        <f t="shared" si="8"/>
        <v>0.35</v>
      </c>
      <c r="M6" s="128">
        <f t="shared" si="8"/>
        <v>0.35</v>
      </c>
      <c r="N6" s="128">
        <f t="shared" si="8"/>
        <v>0.35</v>
      </c>
      <c r="O6" s="128">
        <f t="shared" si="8"/>
        <v>0.35</v>
      </c>
      <c r="P6" s="128">
        <f>O6</f>
        <v>0.35</v>
      </c>
      <c r="Q6" s="128">
        <f>P6</f>
        <v>0.35</v>
      </c>
      <c r="R6" s="128">
        <f t="shared" ref="R6:T6" si="9">Q6</f>
        <v>0.35</v>
      </c>
      <c r="S6" s="128">
        <f t="shared" si="9"/>
        <v>0.35</v>
      </c>
      <c r="T6" s="128">
        <f t="shared" si="9"/>
        <v>0.35</v>
      </c>
    </row>
    <row r="7" spans="1:20" x14ac:dyDescent="0.25">
      <c r="A7" s="47" t="s">
        <v>232</v>
      </c>
      <c r="B7" s="25">
        <f>B8-B5</f>
        <v>1071.4285714285716</v>
      </c>
      <c r="C7" s="25">
        <f t="shared" ref="C7:O7" si="10">C8-C5</f>
        <v>1315.6765737980877</v>
      </c>
      <c r="D7" s="25">
        <f t="shared" si="10"/>
        <v>4263</v>
      </c>
      <c r="E7" s="25">
        <f t="shared" si="10"/>
        <v>5475</v>
      </c>
      <c r="F7" s="25">
        <f t="shared" si="10"/>
        <v>4820.4608999999991</v>
      </c>
      <c r="G7" s="25">
        <f t="shared" si="10"/>
        <v>4912.7889794016919</v>
      </c>
      <c r="H7" s="109">
        <f t="shared" si="10"/>
        <v>2162.8640414983915</v>
      </c>
      <c r="I7" s="109">
        <f t="shared" si="10"/>
        <v>1730.5268142373548</v>
      </c>
      <c r="J7" s="109">
        <f t="shared" si="10"/>
        <v>1714.3262290772559</v>
      </c>
      <c r="K7" s="109">
        <f t="shared" si="10"/>
        <v>1698.2598102538868</v>
      </c>
      <c r="L7" s="109">
        <f t="shared" si="10"/>
        <v>1682.2604745988829</v>
      </c>
      <c r="M7" s="109">
        <f t="shared" si="10"/>
        <v>1666.1269726071487</v>
      </c>
      <c r="N7" s="109">
        <f t="shared" si="10"/>
        <v>1649.9263874470498</v>
      </c>
      <c r="O7" s="109">
        <f t="shared" si="10"/>
        <v>1633.625177534404</v>
      </c>
      <c r="P7" s="109">
        <f>P8-P5</f>
        <v>1617.1562597008456</v>
      </c>
      <c r="Q7" s="109">
        <f>Q8-Q5</f>
        <v>1601.0898408774769</v>
      </c>
      <c r="R7" s="109">
        <f t="shared" ref="R7:T7" si="11">R8-R5</f>
        <v>1585.2116896524249</v>
      </c>
      <c r="S7" s="109">
        <f t="shared" si="11"/>
        <v>1569.5195998907088</v>
      </c>
      <c r="T7" s="109">
        <f t="shared" si="11"/>
        <v>1554.0113913090177</v>
      </c>
    </row>
    <row r="8" spans="1:20" x14ac:dyDescent="0.25">
      <c r="A8" s="93" t="s">
        <v>289</v>
      </c>
      <c r="B8" s="33">
        <f>B5/(1-B6)*100/100</f>
        <v>3571.4285714285716</v>
      </c>
      <c r="C8" s="33">
        <f t="shared" ref="C8:O8" si="12">C5/(1-C6)*100/100</f>
        <v>4385.5885793269581</v>
      </c>
      <c r="D8" s="33">
        <f t="shared" si="12"/>
        <v>7105</v>
      </c>
      <c r="E8" s="33">
        <f t="shared" si="12"/>
        <v>9125</v>
      </c>
      <c r="F8" s="33">
        <f t="shared" si="12"/>
        <v>8034.1014999999989</v>
      </c>
      <c r="G8" s="33">
        <f t="shared" si="12"/>
        <v>8187.9816323361538</v>
      </c>
      <c r="H8" s="114">
        <f t="shared" si="12"/>
        <v>5407.1601037459805</v>
      </c>
      <c r="I8" s="114">
        <f t="shared" si="12"/>
        <v>4944.3623263924419</v>
      </c>
      <c r="J8" s="114">
        <f t="shared" si="12"/>
        <v>4898.0749402207312</v>
      </c>
      <c r="K8" s="114">
        <f t="shared" si="12"/>
        <v>4852.1708864396769</v>
      </c>
      <c r="L8" s="114">
        <f t="shared" si="12"/>
        <v>4806.4584988539509</v>
      </c>
      <c r="M8" s="114">
        <f t="shared" si="12"/>
        <v>4760.3627788775675</v>
      </c>
      <c r="N8" s="114">
        <f t="shared" si="12"/>
        <v>4714.0753927058568</v>
      </c>
      <c r="O8" s="114">
        <f t="shared" si="12"/>
        <v>4667.5005072411541</v>
      </c>
      <c r="P8" s="114">
        <f>P5/(1-P6)*100/100</f>
        <v>4620.4464562881312</v>
      </c>
      <c r="Q8" s="114">
        <f>Q5/(1-Q6)*100/100</f>
        <v>4574.542402507077</v>
      </c>
      <c r="R8" s="114">
        <f t="shared" ref="R8:T8" si="13">R5/(1-R6)*100/100</f>
        <v>4529.1762561497853</v>
      </c>
      <c r="S8" s="114">
        <f t="shared" si="13"/>
        <v>4484.3417139734538</v>
      </c>
      <c r="T8" s="114">
        <f t="shared" si="13"/>
        <v>4440.0325465971928</v>
      </c>
    </row>
    <row r="9" spans="1:20" x14ac:dyDescent="0.25">
      <c r="A9" s="48" t="s">
        <v>169</v>
      </c>
      <c r="B9" s="21">
        <f>'Majapidamiste nõudlus asulates'!D138</f>
        <v>1130</v>
      </c>
      <c r="C9" s="25">
        <f>'Majapidamiste nõudlus asulates'!E138</f>
        <v>1220</v>
      </c>
      <c r="D9" s="25">
        <f>'Majapidamiste nõudlus asulates'!F138</f>
        <v>1133</v>
      </c>
      <c r="E9" s="25">
        <f>'Majapidamiste nõudlus asulates'!G138</f>
        <v>1074</v>
      </c>
      <c r="F9" s="25">
        <f>'Majapidamiste nõudlus asulates'!H138</f>
        <v>1127.8010461292135</v>
      </c>
      <c r="G9" s="25">
        <f>'Majapidamiste nõudlus asulates'!I138</f>
        <v>1115.7903065664652</v>
      </c>
      <c r="H9" s="109">
        <f>'Majapidamiste nõudlus asulates'!J138</f>
        <v>1103.5576026175468</v>
      </c>
      <c r="I9" s="109">
        <f>'Majapidamiste nõudlus asulates'!K138</f>
        <v>1091.4975376356492</v>
      </c>
      <c r="J9" s="109">
        <f>'Majapidamiste nõudlus asulates'!L138</f>
        <v>1079.5854489111987</v>
      </c>
      <c r="K9" s="109">
        <f>'Majapidamiste nõudlus asulates'!M138</f>
        <v>1067.7720110250457</v>
      </c>
      <c r="L9" s="109">
        <f>'Majapidamiste nõudlus asulates'!N138</f>
        <v>1056.0078985580415</v>
      </c>
      <c r="M9" s="109">
        <f>'Majapidamiste nõudlus asulates'!O138</f>
        <v>1044.1451352527392</v>
      </c>
      <c r="N9" s="109">
        <f>'Majapidamiste nõudlus asulates'!P138</f>
        <v>1032.2330465282885</v>
      </c>
      <c r="O9" s="109">
        <f>'Majapidamiste nõudlus asulates'!Q138</f>
        <v>1020.2469696751144</v>
      </c>
      <c r="P9" s="109">
        <f>'Majapidamiste nõudlus asulates'!R138</f>
        <v>1008.1375792740683</v>
      </c>
      <c r="Q9" s="109">
        <f>'Majapidamiste nõudlus asulates'!S138</f>
        <v>996.32414138791501</v>
      </c>
      <c r="R9" s="109">
        <f>'Majapidamiste nõudlus asulates'!T138</f>
        <v>984.64913432465687</v>
      </c>
      <c r="S9" s="109">
        <f>'Majapidamiste nõudlus asulates'!U138</f>
        <v>973.11093594068768</v>
      </c>
      <c r="T9" s="109">
        <f>'Majapidamiste nõudlus asulates'!V138</f>
        <v>961.70794310081237</v>
      </c>
    </row>
    <row r="10" spans="1:20" x14ac:dyDescent="0.25">
      <c r="A10" s="48" t="s">
        <v>170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129">
        <v>0</v>
      </c>
      <c r="I10" s="129">
        <v>0</v>
      </c>
      <c r="J10" s="129">
        <v>0</v>
      </c>
      <c r="K10" s="129">
        <v>0</v>
      </c>
      <c r="L10" s="129">
        <v>0</v>
      </c>
      <c r="M10" s="129">
        <v>0</v>
      </c>
      <c r="N10" s="129">
        <v>0</v>
      </c>
      <c r="O10" s="129">
        <v>0</v>
      </c>
      <c r="P10" s="129">
        <v>0</v>
      </c>
      <c r="Q10" s="129">
        <v>0</v>
      </c>
      <c r="R10" s="129">
        <v>0</v>
      </c>
      <c r="S10" s="129">
        <v>0</v>
      </c>
      <c r="T10" s="129">
        <v>0</v>
      </c>
    </row>
    <row r="11" spans="1:20" x14ac:dyDescent="0.25">
      <c r="A11" s="66" t="s">
        <v>208</v>
      </c>
      <c r="B11" s="21">
        <f>B9+B10</f>
        <v>1130</v>
      </c>
      <c r="C11" s="25">
        <f t="shared" ref="C11:O11" si="14">C9+C10</f>
        <v>1220</v>
      </c>
      <c r="D11" s="25">
        <f t="shared" si="14"/>
        <v>1133</v>
      </c>
      <c r="E11" s="25">
        <f t="shared" si="14"/>
        <v>1074</v>
      </c>
      <c r="F11" s="25">
        <f t="shared" si="14"/>
        <v>1127.8010461292135</v>
      </c>
      <c r="G11" s="25">
        <f t="shared" si="14"/>
        <v>1115.7903065664652</v>
      </c>
      <c r="H11" s="109">
        <f t="shared" si="14"/>
        <v>1103.5576026175468</v>
      </c>
      <c r="I11" s="109">
        <f t="shared" si="14"/>
        <v>1091.4975376356492</v>
      </c>
      <c r="J11" s="109">
        <f t="shared" si="14"/>
        <v>1079.5854489111987</v>
      </c>
      <c r="K11" s="109">
        <f t="shared" si="14"/>
        <v>1067.7720110250457</v>
      </c>
      <c r="L11" s="109">
        <f t="shared" si="14"/>
        <v>1056.0078985580415</v>
      </c>
      <c r="M11" s="109">
        <f t="shared" si="14"/>
        <v>1044.1451352527392</v>
      </c>
      <c r="N11" s="109">
        <f t="shared" si="14"/>
        <v>1032.2330465282885</v>
      </c>
      <c r="O11" s="109">
        <f t="shared" si="14"/>
        <v>1020.2469696751144</v>
      </c>
      <c r="P11" s="109">
        <f>P9+P10</f>
        <v>1008.1375792740683</v>
      </c>
      <c r="Q11" s="109">
        <f>Q9+Q10</f>
        <v>996.32414138791501</v>
      </c>
      <c r="R11" s="109">
        <f t="shared" ref="R11:T11" si="15">R9+R10</f>
        <v>984.64913432465687</v>
      </c>
      <c r="S11" s="109">
        <f t="shared" si="15"/>
        <v>973.11093594068768</v>
      </c>
      <c r="T11" s="109">
        <f t="shared" si="15"/>
        <v>961.70794310081237</v>
      </c>
    </row>
    <row r="12" spans="1:20" x14ac:dyDescent="0.25">
      <c r="A12" s="53" t="s">
        <v>231</v>
      </c>
      <c r="B12" s="38">
        <v>0.3</v>
      </c>
      <c r="C12" s="38">
        <f>B12</f>
        <v>0.3</v>
      </c>
      <c r="D12" s="38">
        <f t="shared" ref="D12:O12" si="16">C12</f>
        <v>0.3</v>
      </c>
      <c r="E12" s="38">
        <f t="shared" si="16"/>
        <v>0.3</v>
      </c>
      <c r="F12" s="89">
        <v>0.2</v>
      </c>
      <c r="G12" s="89">
        <f t="shared" si="16"/>
        <v>0.2</v>
      </c>
      <c r="H12" s="128">
        <f t="shared" si="16"/>
        <v>0.2</v>
      </c>
      <c r="I12" s="128">
        <f t="shared" si="16"/>
        <v>0.2</v>
      </c>
      <c r="J12" s="128">
        <f t="shared" si="16"/>
        <v>0.2</v>
      </c>
      <c r="K12" s="128">
        <f t="shared" si="16"/>
        <v>0.2</v>
      </c>
      <c r="L12" s="128">
        <f t="shared" si="16"/>
        <v>0.2</v>
      </c>
      <c r="M12" s="128">
        <f t="shared" si="16"/>
        <v>0.2</v>
      </c>
      <c r="N12" s="128">
        <f t="shared" si="16"/>
        <v>0.2</v>
      </c>
      <c r="O12" s="128">
        <f t="shared" si="16"/>
        <v>0.2</v>
      </c>
      <c r="P12" s="128">
        <f>O12</f>
        <v>0.2</v>
      </c>
      <c r="Q12" s="128">
        <f>P12</f>
        <v>0.2</v>
      </c>
      <c r="R12" s="128">
        <f t="shared" ref="R12:T12" si="17">Q12</f>
        <v>0.2</v>
      </c>
      <c r="S12" s="128">
        <f t="shared" si="17"/>
        <v>0.2</v>
      </c>
      <c r="T12" s="128">
        <f t="shared" si="17"/>
        <v>0.2</v>
      </c>
    </row>
    <row r="13" spans="1:20" x14ac:dyDescent="0.25">
      <c r="A13" s="47" t="s">
        <v>232</v>
      </c>
      <c r="B13" s="25">
        <f>B14-B11</f>
        <v>484.28571428571445</v>
      </c>
      <c r="C13" s="25">
        <f t="shared" ref="C13:O13" si="18">C14-C11</f>
        <v>522.85714285714289</v>
      </c>
      <c r="D13" s="25">
        <f t="shared" si="18"/>
        <v>485.57142857142867</v>
      </c>
      <c r="E13" s="25">
        <f t="shared" si="18"/>
        <v>460.28571428571445</v>
      </c>
      <c r="F13" s="25">
        <f t="shared" si="18"/>
        <v>281.95026153230333</v>
      </c>
      <c r="G13" s="25">
        <f t="shared" si="18"/>
        <v>278.94757664161625</v>
      </c>
      <c r="H13" s="109">
        <f t="shared" si="18"/>
        <v>275.88940065438669</v>
      </c>
      <c r="I13" s="109">
        <f t="shared" si="18"/>
        <v>272.87438440891219</v>
      </c>
      <c r="J13" s="109">
        <f t="shared" si="18"/>
        <v>269.89636222779973</v>
      </c>
      <c r="K13" s="109">
        <f t="shared" si="18"/>
        <v>266.94300275626142</v>
      </c>
      <c r="L13" s="109">
        <f t="shared" si="18"/>
        <v>264.00197463951008</v>
      </c>
      <c r="M13" s="109">
        <f t="shared" si="18"/>
        <v>261.03628381318481</v>
      </c>
      <c r="N13" s="109">
        <f t="shared" si="18"/>
        <v>258.05826163207212</v>
      </c>
      <c r="O13" s="109">
        <f t="shared" si="18"/>
        <v>255.06174241877864</v>
      </c>
      <c r="P13" s="109">
        <f>P14-P11</f>
        <v>252.03439481851694</v>
      </c>
      <c r="Q13" s="109">
        <f>Q14-Q11</f>
        <v>249.08103534697875</v>
      </c>
      <c r="R13" s="109">
        <f t="shared" ref="R13:T13" si="19">R14-R11</f>
        <v>246.16228358116405</v>
      </c>
      <c r="S13" s="109">
        <f t="shared" si="19"/>
        <v>243.27773398517195</v>
      </c>
      <c r="T13" s="109">
        <f t="shared" si="19"/>
        <v>240.42698577520309</v>
      </c>
    </row>
    <row r="14" spans="1:20" x14ac:dyDescent="0.25">
      <c r="A14" s="93" t="s">
        <v>290</v>
      </c>
      <c r="B14" s="33">
        <f>B11/(1-B12)*100/100</f>
        <v>1614.2857142857144</v>
      </c>
      <c r="C14" s="33">
        <f t="shared" ref="C14:O14" si="20">C11/(1-C12)*100/100</f>
        <v>1742.8571428571429</v>
      </c>
      <c r="D14" s="33">
        <f t="shared" si="20"/>
        <v>1618.5714285714287</v>
      </c>
      <c r="E14" s="33">
        <f t="shared" si="20"/>
        <v>1534.2857142857144</v>
      </c>
      <c r="F14" s="33">
        <f t="shared" si="20"/>
        <v>1409.7513076615169</v>
      </c>
      <c r="G14" s="33">
        <f t="shared" si="20"/>
        <v>1394.7378832080815</v>
      </c>
      <c r="H14" s="114">
        <f t="shared" si="20"/>
        <v>1379.4470032719335</v>
      </c>
      <c r="I14" s="114">
        <f t="shared" si="20"/>
        <v>1364.3719220445614</v>
      </c>
      <c r="J14" s="114">
        <f t="shared" si="20"/>
        <v>1349.4818111389984</v>
      </c>
      <c r="K14" s="114">
        <f t="shared" si="20"/>
        <v>1334.7150137813071</v>
      </c>
      <c r="L14" s="114">
        <f t="shared" si="20"/>
        <v>1320.0098731975515</v>
      </c>
      <c r="M14" s="114">
        <f t="shared" si="20"/>
        <v>1305.181419065924</v>
      </c>
      <c r="N14" s="114">
        <f t="shared" si="20"/>
        <v>1290.2913081603606</v>
      </c>
      <c r="O14" s="114">
        <f t="shared" si="20"/>
        <v>1275.3087120938931</v>
      </c>
      <c r="P14" s="114">
        <f>P11/(1-P12)*100/100</f>
        <v>1260.1719740925853</v>
      </c>
      <c r="Q14" s="114">
        <f>Q11/(1-Q12)*100/100</f>
        <v>1245.4051767348938</v>
      </c>
      <c r="R14" s="114">
        <f t="shared" ref="R14:T14" si="21">R11/(1-R12)*100/100</f>
        <v>1230.8114179058209</v>
      </c>
      <c r="S14" s="114">
        <f t="shared" si="21"/>
        <v>1216.3886699258596</v>
      </c>
      <c r="T14" s="114">
        <f t="shared" si="21"/>
        <v>1202.1349288760155</v>
      </c>
    </row>
    <row r="15" spans="1:20" x14ac:dyDescent="0.25">
      <c r="A15" s="48" t="s">
        <v>171</v>
      </c>
      <c r="B15" s="25">
        <f>'Majapidamiste nõudlus asulates'!D139</f>
        <v>7100</v>
      </c>
      <c r="C15" s="25">
        <f>'Majapidamiste nõudlus asulates'!E139</f>
        <v>6750</v>
      </c>
      <c r="D15" s="25">
        <f>'Majapidamiste nõudlus asulates'!F139</f>
        <v>5599</v>
      </c>
      <c r="E15" s="25">
        <f>'Majapidamiste nõudlus asulates'!G139</f>
        <v>5807</v>
      </c>
      <c r="F15" s="25">
        <f>'Majapidamiste nõudlus asulates'!H139</f>
        <v>5745.5602362715817</v>
      </c>
      <c r="G15" s="25">
        <f>'Majapidamiste nõudlus asulates'!I139</f>
        <v>5684.3717599203765</v>
      </c>
      <c r="H15" s="109">
        <f>'Majapidamiste nõudlus asulates'!J139</f>
        <v>5622.0524903717151</v>
      </c>
      <c r="I15" s="109">
        <f>'Majapidamiste nõudlus asulates'!K139</f>
        <v>5560.6127266432977</v>
      </c>
      <c r="J15" s="109">
        <f>'Majapidamiste nõudlus asulates'!L139</f>
        <v>5499.9268250465184</v>
      </c>
      <c r="K15" s="109">
        <f>'Majapidamiste nõudlus asulates'!M139</f>
        <v>5439.7434982041623</v>
      </c>
      <c r="L15" s="109">
        <f>'Majapidamiste nõudlus asulates'!N139</f>
        <v>5379.8114587390191</v>
      </c>
      <c r="M15" s="109">
        <f>'Majapidamiste nõudlus asulates'!O139</f>
        <v>5319.376844519451</v>
      </c>
      <c r="N15" s="109">
        <f>'Majapidamiste nõudlus asulates'!P139</f>
        <v>5258.6909429226698</v>
      </c>
      <c r="O15" s="109">
        <f>'Majapidamiste nõudlus asulates'!Q139</f>
        <v>5197.6281102600724</v>
      </c>
      <c r="P15" s="109">
        <f>'Majapidamiste nõudlus asulates'!R139</f>
        <v>5135.9370591544421</v>
      </c>
      <c r="Q15" s="109">
        <f>'Majapidamiste nõudlus asulates'!S139</f>
        <v>5075.7537323120869</v>
      </c>
      <c r="R15" s="109">
        <f>'Majapidamiste nõudlus asulates'!T139</f>
        <v>5016.2756385728817</v>
      </c>
      <c r="S15" s="109">
        <f>'Majapidamiste nõudlus asulates'!U139</f>
        <v>4957.4945139581487</v>
      </c>
      <c r="T15" s="109">
        <f>'Majapidamiste nõudlus asulates'!V139</f>
        <v>4899.4021913271845</v>
      </c>
    </row>
    <row r="16" spans="1:20" x14ac:dyDescent="0.25">
      <c r="A16" s="48" t="s">
        <v>172</v>
      </c>
      <c r="B16" s="21">
        <v>30</v>
      </c>
      <c r="C16" s="21">
        <v>30</v>
      </c>
      <c r="D16" s="21">
        <v>1031</v>
      </c>
      <c r="E16" s="21">
        <v>567</v>
      </c>
      <c r="F16" s="21">
        <f>E16</f>
        <v>567</v>
      </c>
      <c r="G16" s="21">
        <f t="shared" ref="G16:O16" si="22">F16</f>
        <v>567</v>
      </c>
      <c r="H16" s="23">
        <f t="shared" si="22"/>
        <v>567</v>
      </c>
      <c r="I16" s="23">
        <f t="shared" si="22"/>
        <v>567</v>
      </c>
      <c r="J16" s="23">
        <f t="shared" si="22"/>
        <v>567</v>
      </c>
      <c r="K16" s="23">
        <f t="shared" si="22"/>
        <v>567</v>
      </c>
      <c r="L16" s="23">
        <f t="shared" si="22"/>
        <v>567</v>
      </c>
      <c r="M16" s="23">
        <f t="shared" si="22"/>
        <v>567</v>
      </c>
      <c r="N16" s="23">
        <f t="shared" si="22"/>
        <v>567</v>
      </c>
      <c r="O16" s="23">
        <f t="shared" si="22"/>
        <v>567</v>
      </c>
      <c r="P16" s="23">
        <f>O16</f>
        <v>567</v>
      </c>
      <c r="Q16" s="23">
        <f>P16</f>
        <v>567</v>
      </c>
      <c r="R16" s="23">
        <f t="shared" ref="R16:T16" si="23">Q16</f>
        <v>567</v>
      </c>
      <c r="S16" s="23">
        <f t="shared" si="23"/>
        <v>567</v>
      </c>
      <c r="T16" s="23">
        <f t="shared" si="23"/>
        <v>567</v>
      </c>
    </row>
    <row r="17" spans="1:20" x14ac:dyDescent="0.25">
      <c r="A17" s="66" t="s">
        <v>209</v>
      </c>
      <c r="B17" s="21">
        <f>B15+B16</f>
        <v>7130</v>
      </c>
      <c r="C17" s="25">
        <f t="shared" ref="C17:O17" si="24">C15+C16</f>
        <v>6780</v>
      </c>
      <c r="D17" s="25">
        <f t="shared" si="24"/>
        <v>6630</v>
      </c>
      <c r="E17" s="25">
        <f t="shared" si="24"/>
        <v>6374</v>
      </c>
      <c r="F17" s="25">
        <f t="shared" si="24"/>
        <v>6312.5602362715817</v>
      </c>
      <c r="G17" s="25">
        <f t="shared" si="24"/>
        <v>6251.3717599203765</v>
      </c>
      <c r="H17" s="109">
        <f t="shared" si="24"/>
        <v>6189.0524903717151</v>
      </c>
      <c r="I17" s="109">
        <f t="shared" si="24"/>
        <v>6127.6127266432977</v>
      </c>
      <c r="J17" s="109">
        <f t="shared" si="24"/>
        <v>6066.9268250465184</v>
      </c>
      <c r="K17" s="109">
        <f t="shared" si="24"/>
        <v>6006.7434982041623</v>
      </c>
      <c r="L17" s="109">
        <f t="shared" si="24"/>
        <v>5946.8114587390191</v>
      </c>
      <c r="M17" s="109">
        <f t="shared" si="24"/>
        <v>5886.376844519451</v>
      </c>
      <c r="N17" s="109">
        <f t="shared" si="24"/>
        <v>5825.6909429226698</v>
      </c>
      <c r="O17" s="109">
        <f t="shared" si="24"/>
        <v>5764.6281102600724</v>
      </c>
      <c r="P17" s="109">
        <f>P15+P16</f>
        <v>5702.9370591544421</v>
      </c>
      <c r="Q17" s="109">
        <f>Q15+Q16</f>
        <v>5642.7537323120869</v>
      </c>
      <c r="R17" s="109">
        <f t="shared" ref="R17:T17" si="25">R15+R16</f>
        <v>5583.2756385728817</v>
      </c>
      <c r="S17" s="109">
        <f t="shared" si="25"/>
        <v>5524.4945139581487</v>
      </c>
      <c r="T17" s="109">
        <f t="shared" si="25"/>
        <v>5466.4021913271845</v>
      </c>
    </row>
    <row r="18" spans="1:20" x14ac:dyDescent="0.25">
      <c r="A18" s="53" t="s">
        <v>231</v>
      </c>
      <c r="B18" s="38">
        <v>0.3</v>
      </c>
      <c r="C18" s="38">
        <v>0.3</v>
      </c>
      <c r="D18" s="38">
        <f t="shared" ref="D18:O18" si="26">C18</f>
        <v>0.3</v>
      </c>
      <c r="E18" s="89">
        <v>0.18</v>
      </c>
      <c r="F18" s="89">
        <v>0.18</v>
      </c>
      <c r="G18" s="89">
        <f t="shared" si="26"/>
        <v>0.18</v>
      </c>
      <c r="H18" s="128">
        <f t="shared" si="26"/>
        <v>0.18</v>
      </c>
      <c r="I18" s="128">
        <f t="shared" si="26"/>
        <v>0.18</v>
      </c>
      <c r="J18" s="128">
        <f t="shared" si="26"/>
        <v>0.18</v>
      </c>
      <c r="K18" s="128">
        <f t="shared" si="26"/>
        <v>0.18</v>
      </c>
      <c r="L18" s="128">
        <f t="shared" si="26"/>
        <v>0.18</v>
      </c>
      <c r="M18" s="128">
        <f t="shared" si="26"/>
        <v>0.18</v>
      </c>
      <c r="N18" s="128">
        <f t="shared" si="26"/>
        <v>0.18</v>
      </c>
      <c r="O18" s="128">
        <f t="shared" si="26"/>
        <v>0.18</v>
      </c>
      <c r="P18" s="128">
        <f>O18</f>
        <v>0.18</v>
      </c>
      <c r="Q18" s="128">
        <f>P18</f>
        <v>0.18</v>
      </c>
      <c r="R18" s="128">
        <f t="shared" ref="R18:T18" si="27">Q18</f>
        <v>0.18</v>
      </c>
      <c r="S18" s="128">
        <f t="shared" si="27"/>
        <v>0.18</v>
      </c>
      <c r="T18" s="128">
        <f t="shared" si="27"/>
        <v>0.18</v>
      </c>
    </row>
    <row r="19" spans="1:20" x14ac:dyDescent="0.25">
      <c r="A19" s="47" t="s">
        <v>232</v>
      </c>
      <c r="B19" s="25">
        <f>B20-B17</f>
        <v>3055.7142857142862</v>
      </c>
      <c r="C19" s="25">
        <f t="shared" ref="C19:O19" si="28">C20-C17</f>
        <v>2905.7142857142862</v>
      </c>
      <c r="D19" s="25">
        <f t="shared" si="28"/>
        <v>2841.4285714285725</v>
      </c>
      <c r="E19" s="25">
        <f t="shared" si="28"/>
        <v>1399.1707317073169</v>
      </c>
      <c r="F19" s="25">
        <f t="shared" si="28"/>
        <v>1385.6839543035185</v>
      </c>
      <c r="G19" s="25">
        <f t="shared" si="28"/>
        <v>1372.2523375434967</v>
      </c>
      <c r="H19" s="109">
        <f t="shared" si="28"/>
        <v>1358.5724978864737</v>
      </c>
      <c r="I19" s="109">
        <f t="shared" si="28"/>
        <v>1345.0857204826743</v>
      </c>
      <c r="J19" s="109">
        <f t="shared" si="28"/>
        <v>1331.7644250102112</v>
      </c>
      <c r="K19" s="109">
        <f t="shared" si="28"/>
        <v>1318.553450825304</v>
      </c>
      <c r="L19" s="109">
        <f t="shared" si="28"/>
        <v>1305.3976372841744</v>
      </c>
      <c r="M19" s="109">
        <f t="shared" si="28"/>
        <v>1292.1315024554888</v>
      </c>
      <c r="N19" s="109">
        <f t="shared" si="28"/>
        <v>1278.8102069830247</v>
      </c>
      <c r="O19" s="109">
        <f t="shared" si="28"/>
        <v>1265.4061705448921</v>
      </c>
      <c r="P19" s="109">
        <f>P20-P17</f>
        <v>1251.8642324973162</v>
      </c>
      <c r="Q19" s="109">
        <f>Q20-Q17</f>
        <v>1238.653258312409</v>
      </c>
      <c r="R19" s="109">
        <f t="shared" ref="R19:T19" si="29">R20-R17</f>
        <v>1225.5970913940464</v>
      </c>
      <c r="S19" s="109">
        <f t="shared" si="29"/>
        <v>1212.6939176981296</v>
      </c>
      <c r="T19" s="109">
        <f t="shared" si="29"/>
        <v>1199.9419444376745</v>
      </c>
    </row>
    <row r="20" spans="1:20" x14ac:dyDescent="0.25">
      <c r="A20" s="93" t="s">
        <v>291</v>
      </c>
      <c r="B20" s="33">
        <f>B17/(1-B18)*100/100</f>
        <v>10185.714285714286</v>
      </c>
      <c r="C20" s="33">
        <f t="shared" ref="C20:O20" si="30">C17/(1-C18)*100/100</f>
        <v>9685.7142857142862</v>
      </c>
      <c r="D20" s="33">
        <f t="shared" si="30"/>
        <v>9471.4285714285725</v>
      </c>
      <c r="E20" s="33">
        <f t="shared" si="30"/>
        <v>7773.1707317073169</v>
      </c>
      <c r="F20" s="33">
        <f t="shared" si="30"/>
        <v>7698.2441905751002</v>
      </c>
      <c r="G20" s="33">
        <f t="shared" si="30"/>
        <v>7623.6240974638731</v>
      </c>
      <c r="H20" s="114">
        <f t="shared" si="30"/>
        <v>7547.6249882581888</v>
      </c>
      <c r="I20" s="114">
        <f t="shared" si="30"/>
        <v>7472.6984471259721</v>
      </c>
      <c r="J20" s="114">
        <f t="shared" si="30"/>
        <v>7398.6912500567296</v>
      </c>
      <c r="K20" s="114">
        <f t="shared" si="30"/>
        <v>7325.2969490294663</v>
      </c>
      <c r="L20" s="114">
        <f t="shared" si="30"/>
        <v>7252.2090960231935</v>
      </c>
      <c r="M20" s="114">
        <f t="shared" si="30"/>
        <v>7178.5083469749397</v>
      </c>
      <c r="N20" s="114">
        <f t="shared" si="30"/>
        <v>7104.5011499056945</v>
      </c>
      <c r="O20" s="114">
        <f t="shared" si="30"/>
        <v>7030.0342808049645</v>
      </c>
      <c r="P20" s="114">
        <f>P17/(1-P18)*100/100</f>
        <v>6954.8012916517582</v>
      </c>
      <c r="Q20" s="114">
        <f>Q17/(1-Q18)*100/100</f>
        <v>6881.4069906244958</v>
      </c>
      <c r="R20" s="114">
        <f t="shared" ref="R20:T20" si="31">R17/(1-R18)*100/100</f>
        <v>6808.8727299669281</v>
      </c>
      <c r="S20" s="114">
        <f t="shared" si="31"/>
        <v>6737.1884316562782</v>
      </c>
      <c r="T20" s="114">
        <f t="shared" si="31"/>
        <v>6666.3441357648589</v>
      </c>
    </row>
    <row r="21" spans="1:20" x14ac:dyDescent="0.25">
      <c r="A21" s="48" t="s">
        <v>173</v>
      </c>
      <c r="B21" s="36">
        <f>'Majapidamiste nõudlus asulates'!D140</f>
        <v>16940</v>
      </c>
      <c r="C21" s="36">
        <f>'Majapidamiste nõudlus asulates'!E140</f>
        <v>16600</v>
      </c>
      <c r="D21" s="36">
        <f>'Majapidamiste nõudlus asulates'!F140</f>
        <v>16120</v>
      </c>
      <c r="E21" s="36">
        <f>'Majapidamiste nõudlus asulates'!G140</f>
        <v>13626</v>
      </c>
      <c r="F21" s="36">
        <f>'Majapidamiste nõudlus asulates'!H140</f>
        <v>15797.679124663489</v>
      </c>
      <c r="G21" s="36">
        <f>'Majapidamiste nõudlus asulates'!I140</f>
        <v>15629.43862664886</v>
      </c>
      <c r="H21" s="132">
        <f>'Majapidamiste nõudlus asulates'!J140</f>
        <v>15458.088961319787</v>
      </c>
      <c r="I21" s="132">
        <f>'Majapidamiste nõudlus asulates'!K140</f>
        <v>15289.157537235282</v>
      </c>
      <c r="J21" s="132">
        <f>'Majapidamiste nõudlus asulates'!L140</f>
        <v>15122.2988913604</v>
      </c>
      <c r="K21" s="132">
        <f>'Majapidamiste nõudlus asulates'!M140</f>
        <v>14956.822097625269</v>
      </c>
      <c r="L21" s="132">
        <f>'Majapidamiste nõudlus asulates'!N140</f>
        <v>14792.036229960015</v>
      </c>
      <c r="M21" s="132">
        <f>'Majapidamiste nõudlus asulates'!O140</f>
        <v>14625.868510155005</v>
      </c>
      <c r="N21" s="132">
        <f>'Majapidamiste nõudlus asulates'!P140</f>
        <v>14459.009864280124</v>
      </c>
      <c r="O21" s="132">
        <f>'Majapidamiste nõudlus asulates'!Q140</f>
        <v>14291.114829300432</v>
      </c>
      <c r="P21" s="132">
        <f>'Majapidamiste nõudlus asulates'!R140</f>
        <v>14121.492479146047</v>
      </c>
      <c r="Q21" s="132">
        <f>'Majapidamiste nõudlus asulates'!S140</f>
        <v>13956.015685410919</v>
      </c>
      <c r="R21" s="132">
        <f>'Majapidamiste nõudlus asulates'!T140</f>
        <v>13792.477962160392</v>
      </c>
      <c r="S21" s="132">
        <f>'Majapidamiste nõudlus asulates'!U140</f>
        <v>13630.85658720932</v>
      </c>
      <c r="T21" s="132">
        <f>'Majapidamiste nõudlus asulates'!V140</f>
        <v>13471.129104632977</v>
      </c>
    </row>
    <row r="22" spans="1:20" x14ac:dyDescent="0.25">
      <c r="A22" s="48" t="s">
        <v>175</v>
      </c>
      <c r="B22" s="21">
        <v>730</v>
      </c>
      <c r="C22" s="21">
        <v>710</v>
      </c>
      <c r="D22" s="21">
        <v>805</v>
      </c>
      <c r="E22" s="21">
        <v>2657</v>
      </c>
      <c r="F22" s="21">
        <v>2657</v>
      </c>
      <c r="G22" s="21">
        <v>2657</v>
      </c>
      <c r="H22" s="23">
        <v>2657</v>
      </c>
      <c r="I22" s="23">
        <v>2657</v>
      </c>
      <c r="J22" s="23">
        <v>2657</v>
      </c>
      <c r="K22" s="23">
        <v>2657</v>
      </c>
      <c r="L22" s="23">
        <v>2657</v>
      </c>
      <c r="M22" s="23">
        <v>2657</v>
      </c>
      <c r="N22" s="23">
        <v>2657</v>
      </c>
      <c r="O22" s="23">
        <v>2657</v>
      </c>
      <c r="P22" s="23">
        <v>2657</v>
      </c>
      <c r="Q22" s="23">
        <v>2657</v>
      </c>
      <c r="R22" s="23">
        <v>2657</v>
      </c>
      <c r="S22" s="23">
        <v>2657</v>
      </c>
      <c r="T22" s="23">
        <v>2657</v>
      </c>
    </row>
    <row r="23" spans="1:20" x14ac:dyDescent="0.25">
      <c r="A23" s="48" t="s">
        <v>174</v>
      </c>
      <c r="B23" s="21">
        <f>B21+B22</f>
        <v>17670</v>
      </c>
      <c r="C23" s="25">
        <f t="shared" ref="C23:O23" si="32">C21+C22</f>
        <v>17310</v>
      </c>
      <c r="D23" s="25">
        <f t="shared" si="32"/>
        <v>16925</v>
      </c>
      <c r="E23" s="25">
        <f t="shared" si="32"/>
        <v>16283</v>
      </c>
      <c r="F23" s="25">
        <f t="shared" si="32"/>
        <v>18454.679124663489</v>
      </c>
      <c r="G23" s="25">
        <f t="shared" si="32"/>
        <v>18286.438626648858</v>
      </c>
      <c r="H23" s="109">
        <f t="shared" si="32"/>
        <v>18115.088961319787</v>
      </c>
      <c r="I23" s="109">
        <f t="shared" si="32"/>
        <v>17946.157537235282</v>
      </c>
      <c r="J23" s="109">
        <f t="shared" si="32"/>
        <v>17779.298891360399</v>
      </c>
      <c r="K23" s="109">
        <f t="shared" si="32"/>
        <v>17613.822097625271</v>
      </c>
      <c r="L23" s="109">
        <f t="shared" si="32"/>
        <v>17449.036229960016</v>
      </c>
      <c r="M23" s="109">
        <f t="shared" si="32"/>
        <v>17282.868510155007</v>
      </c>
      <c r="N23" s="109">
        <f t="shared" si="32"/>
        <v>17116.009864280124</v>
      </c>
      <c r="O23" s="109">
        <f t="shared" si="32"/>
        <v>16948.11482930043</v>
      </c>
      <c r="P23" s="109">
        <f>P21+P22</f>
        <v>16778.492479146047</v>
      </c>
      <c r="Q23" s="109">
        <f>Q21+Q22</f>
        <v>16613.015685410919</v>
      </c>
      <c r="R23" s="109">
        <f t="shared" ref="R23:T23" si="33">R21+R22</f>
        <v>16449.477962160392</v>
      </c>
      <c r="S23" s="109">
        <f t="shared" si="33"/>
        <v>16287.85658720932</v>
      </c>
      <c r="T23" s="109">
        <f t="shared" si="33"/>
        <v>16128.129104632977</v>
      </c>
    </row>
    <row r="24" spans="1:20" x14ac:dyDescent="0.25">
      <c r="A24" s="21" t="s">
        <v>231</v>
      </c>
      <c r="B24" s="37">
        <v>5.3999999999999999E-2</v>
      </c>
      <c r="C24" s="38">
        <f>B24</f>
        <v>5.3999999999999999E-2</v>
      </c>
      <c r="D24" s="38">
        <v>5.7630000000000001E-2</v>
      </c>
      <c r="E24" s="38">
        <v>9.3359999999999999E-2</v>
      </c>
      <c r="F24" s="38">
        <f>(D24+E24)/2</f>
        <v>7.5495000000000007E-2</v>
      </c>
      <c r="G24" s="38">
        <f t="shared" ref="G24:O24" si="34">F24</f>
        <v>7.5495000000000007E-2</v>
      </c>
      <c r="H24" s="128">
        <f t="shared" si="34"/>
        <v>7.5495000000000007E-2</v>
      </c>
      <c r="I24" s="128">
        <f t="shared" si="34"/>
        <v>7.5495000000000007E-2</v>
      </c>
      <c r="J24" s="128">
        <f t="shared" si="34"/>
        <v>7.5495000000000007E-2</v>
      </c>
      <c r="K24" s="128">
        <f t="shared" si="34"/>
        <v>7.5495000000000007E-2</v>
      </c>
      <c r="L24" s="128">
        <f t="shared" si="34"/>
        <v>7.5495000000000007E-2</v>
      </c>
      <c r="M24" s="128">
        <f t="shared" si="34"/>
        <v>7.5495000000000007E-2</v>
      </c>
      <c r="N24" s="128">
        <f t="shared" si="34"/>
        <v>7.5495000000000007E-2</v>
      </c>
      <c r="O24" s="128">
        <f t="shared" si="34"/>
        <v>7.5495000000000007E-2</v>
      </c>
      <c r="P24" s="128">
        <f>O24</f>
        <v>7.5495000000000007E-2</v>
      </c>
      <c r="Q24" s="128">
        <f>P24</f>
        <v>7.5495000000000007E-2</v>
      </c>
      <c r="R24" s="128">
        <f t="shared" ref="R24:T24" si="35">Q24</f>
        <v>7.5495000000000007E-2</v>
      </c>
      <c r="S24" s="128">
        <f t="shared" si="35"/>
        <v>7.5495000000000007E-2</v>
      </c>
      <c r="T24" s="128">
        <f t="shared" si="35"/>
        <v>7.5495000000000007E-2</v>
      </c>
    </row>
    <row r="25" spans="1:20" x14ac:dyDescent="0.25">
      <c r="A25" s="47" t="s">
        <v>232</v>
      </c>
      <c r="B25" s="25">
        <f>B26-B23</f>
        <v>1008.6469344608886</v>
      </c>
      <c r="C25" s="25">
        <f t="shared" ref="C25:O25" si="36">C26-C23</f>
        <v>988.09725158562287</v>
      </c>
      <c r="D25" s="25">
        <f t="shared" si="36"/>
        <v>1035.0369281704625</v>
      </c>
      <c r="E25" s="25">
        <f t="shared" si="36"/>
        <v>1676.7194035118664</v>
      </c>
      <c r="F25" s="25">
        <f t="shared" si="36"/>
        <v>1507.0075343199533</v>
      </c>
      <c r="G25" s="25">
        <f t="shared" si="36"/>
        <v>1493.2690295010361</v>
      </c>
      <c r="H25" s="109">
        <f t="shared" si="36"/>
        <v>1479.2766303425487</v>
      </c>
      <c r="I25" s="109">
        <f t="shared" si="36"/>
        <v>1465.481704559279</v>
      </c>
      <c r="J25" s="109">
        <f t="shared" si="36"/>
        <v>1451.8560416690598</v>
      </c>
      <c r="K25" s="109">
        <f t="shared" si="36"/>
        <v>1438.3432207075348</v>
      </c>
      <c r="L25" s="109">
        <f t="shared" si="36"/>
        <v>1424.8868207103587</v>
      </c>
      <c r="M25" s="109">
        <f t="shared" si="36"/>
        <v>1411.3175787844884</v>
      </c>
      <c r="N25" s="109">
        <f t="shared" si="36"/>
        <v>1397.6919158942655</v>
      </c>
      <c r="O25" s="109">
        <f t="shared" si="36"/>
        <v>1383.9816215575192</v>
      </c>
      <c r="P25" s="109">
        <f>P26-P23</f>
        <v>1370.1302748099042</v>
      </c>
      <c r="Q25" s="109">
        <f>Q26-Q23</f>
        <v>1356.6174538483792</v>
      </c>
      <c r="R25" s="109">
        <f t="shared" ref="R25:T25" si="37">R26-R23</f>
        <v>1343.2629772184009</v>
      </c>
      <c r="S25" s="109">
        <f t="shared" si="37"/>
        <v>1330.0649894282542</v>
      </c>
      <c r="T25" s="109">
        <f t="shared" si="37"/>
        <v>1317.0216567290245</v>
      </c>
    </row>
    <row r="26" spans="1:20" x14ac:dyDescent="0.25">
      <c r="A26" s="93" t="s">
        <v>292</v>
      </c>
      <c r="B26" s="33">
        <f>B23/(1-B24)*100/100</f>
        <v>18678.646934460889</v>
      </c>
      <c r="C26" s="33">
        <f t="shared" ref="C26:O26" si="38">C23/(1-C24)*100/100</f>
        <v>18298.097251585623</v>
      </c>
      <c r="D26" s="33">
        <f t="shared" si="38"/>
        <v>17960.036928170462</v>
      </c>
      <c r="E26" s="33">
        <f t="shared" si="38"/>
        <v>17959.719403511866</v>
      </c>
      <c r="F26" s="33">
        <f t="shared" si="38"/>
        <v>19961.686658983443</v>
      </c>
      <c r="G26" s="33">
        <f t="shared" si="38"/>
        <v>19779.707656149894</v>
      </c>
      <c r="H26" s="114">
        <f t="shared" si="38"/>
        <v>19594.365591662336</v>
      </c>
      <c r="I26" s="114">
        <f t="shared" si="38"/>
        <v>19411.639241794561</v>
      </c>
      <c r="J26" s="114">
        <f t="shared" si="38"/>
        <v>19231.154933029458</v>
      </c>
      <c r="K26" s="114">
        <f t="shared" si="38"/>
        <v>19052.165318332805</v>
      </c>
      <c r="L26" s="114">
        <f t="shared" si="38"/>
        <v>18873.923050670375</v>
      </c>
      <c r="M26" s="114">
        <f t="shared" si="38"/>
        <v>18694.186088939496</v>
      </c>
      <c r="N26" s="114">
        <f t="shared" si="38"/>
        <v>18513.70178017439</v>
      </c>
      <c r="O26" s="114">
        <f t="shared" si="38"/>
        <v>18332.096450857949</v>
      </c>
      <c r="P26" s="114">
        <f>P23/(1-P24)*100/100</f>
        <v>18148.622753955951</v>
      </c>
      <c r="Q26" s="114">
        <f>Q23/(1-Q24)*100/100</f>
        <v>17969.633139259298</v>
      </c>
      <c r="R26" s="114">
        <f t="shared" ref="R26:T26" si="39">R23/(1-R24)*100/100</f>
        <v>17792.740939378793</v>
      </c>
      <c r="S26" s="114">
        <f t="shared" si="39"/>
        <v>17617.921576637575</v>
      </c>
      <c r="T26" s="114">
        <f t="shared" si="39"/>
        <v>17445.150761362002</v>
      </c>
    </row>
    <row r="27" spans="1:20" x14ac:dyDescent="0.25">
      <c r="A27" s="48" t="s">
        <v>176</v>
      </c>
      <c r="B27" s="36">
        <f>'Majapidamiste nõudlus asulates'!D142</f>
        <v>3890</v>
      </c>
      <c r="C27" s="36">
        <f>'Majapidamiste nõudlus asulates'!E142</f>
        <v>3860</v>
      </c>
      <c r="D27" s="36">
        <f>'Majapidamiste nõudlus asulates'!F142</f>
        <v>2786</v>
      </c>
      <c r="E27" s="36">
        <f>'Majapidamiste nõudlus asulates'!G142</f>
        <v>3022</v>
      </c>
      <c r="F27" s="36">
        <f>'Majapidamiste nõudlus asulates'!H142</f>
        <v>3691.5110764896785</v>
      </c>
      <c r="G27" s="36">
        <f>'Majapidamiste nõudlus asulates'!I142</f>
        <v>3885.3165974230719</v>
      </c>
      <c r="H27" s="132">
        <f>'Majapidamiste nõudlus asulates'!J142</f>
        <v>3842.7208449735372</v>
      </c>
      <c r="I27" s="132">
        <f>'Majapidamiste nõudlus asulates'!K142</f>
        <v>3800.726242256153</v>
      </c>
      <c r="J27" s="132">
        <f>'Majapidamiste nõudlus asulates'!L142</f>
        <v>3759.2469107377551</v>
      </c>
      <c r="K27" s="132">
        <f>'Majapidamiste nõudlus asulates'!M142</f>
        <v>3718.1110933520154</v>
      </c>
      <c r="L27" s="132">
        <f>'Majapidamiste nõudlus asulates'!N142</f>
        <v>3677.1470330326038</v>
      </c>
      <c r="M27" s="132">
        <f>'Majapidamiste nõudlus asulates'!O142</f>
        <v>3635.8394585805354</v>
      </c>
      <c r="N27" s="132">
        <f>'Majapidamiste nõudlus asulates'!P142</f>
        <v>3594.360127062138</v>
      </c>
      <c r="O27" s="132">
        <f>'Majapidamiste nõudlus asulates'!Q142</f>
        <v>3552.6231599442467</v>
      </c>
      <c r="P27" s="132">
        <f>'Majapidamiste nõudlus asulates'!R142</f>
        <v>3510.4568001605344</v>
      </c>
      <c r="Q27" s="132">
        <f>'Majapidamiste nõudlus asulates'!S142</f>
        <v>3469.3209827747942</v>
      </c>
      <c r="R27" s="132">
        <f>'Majapidamiste nõudlus asulates'!T142</f>
        <v>3428.6671982321627</v>
      </c>
      <c r="S27" s="132">
        <f>'Majapidamiste nõudlus asulates'!U142</f>
        <v>3388.4897980327064</v>
      </c>
      <c r="T27" s="132">
        <f>'Majapidamiste nõudlus asulates'!V142</f>
        <v>3348.7831998660686</v>
      </c>
    </row>
    <row r="28" spans="1:20" x14ac:dyDescent="0.25">
      <c r="A28" s="48" t="s">
        <v>177</v>
      </c>
      <c r="B28" s="21">
        <v>0</v>
      </c>
      <c r="C28" s="21">
        <v>0</v>
      </c>
      <c r="D28" s="21">
        <v>797</v>
      </c>
      <c r="E28" s="21">
        <v>703</v>
      </c>
      <c r="F28" s="21">
        <v>703</v>
      </c>
      <c r="G28" s="21">
        <v>703</v>
      </c>
      <c r="H28" s="23">
        <v>703</v>
      </c>
      <c r="I28" s="23">
        <v>703</v>
      </c>
      <c r="J28" s="23">
        <v>703</v>
      </c>
      <c r="K28" s="23">
        <v>703</v>
      </c>
      <c r="L28" s="23">
        <v>703</v>
      </c>
      <c r="M28" s="23">
        <v>703</v>
      </c>
      <c r="N28" s="23">
        <v>703</v>
      </c>
      <c r="O28" s="23">
        <v>703</v>
      </c>
      <c r="P28" s="23">
        <v>703</v>
      </c>
      <c r="Q28" s="23">
        <v>703</v>
      </c>
      <c r="R28" s="23">
        <v>703</v>
      </c>
      <c r="S28" s="23">
        <v>703</v>
      </c>
      <c r="T28" s="23">
        <v>703</v>
      </c>
    </row>
    <row r="29" spans="1:20" x14ac:dyDescent="0.25">
      <c r="A29" s="52" t="s">
        <v>210</v>
      </c>
      <c r="B29" s="36">
        <f>B27+B28</f>
        <v>3890</v>
      </c>
      <c r="C29" s="36">
        <f t="shared" ref="C29:O29" si="40">C27+C28</f>
        <v>3860</v>
      </c>
      <c r="D29" s="36">
        <f t="shared" si="40"/>
        <v>3583</v>
      </c>
      <c r="E29" s="36">
        <f t="shared" si="40"/>
        <v>3725</v>
      </c>
      <c r="F29" s="36">
        <f t="shared" si="40"/>
        <v>4394.5110764896781</v>
      </c>
      <c r="G29" s="36">
        <f t="shared" si="40"/>
        <v>4588.3165974230724</v>
      </c>
      <c r="H29" s="132">
        <f t="shared" si="40"/>
        <v>4545.7208449735372</v>
      </c>
      <c r="I29" s="132">
        <f t="shared" si="40"/>
        <v>4503.7262422561525</v>
      </c>
      <c r="J29" s="132">
        <f t="shared" si="40"/>
        <v>4462.2469107377547</v>
      </c>
      <c r="K29" s="132">
        <f t="shared" si="40"/>
        <v>4421.1110933520158</v>
      </c>
      <c r="L29" s="132">
        <f t="shared" si="40"/>
        <v>4380.1470330326038</v>
      </c>
      <c r="M29" s="132">
        <f t="shared" si="40"/>
        <v>4338.8394585805354</v>
      </c>
      <c r="N29" s="132">
        <f t="shared" si="40"/>
        <v>4297.3601270621384</v>
      </c>
      <c r="O29" s="132">
        <f t="shared" si="40"/>
        <v>4255.6231599442472</v>
      </c>
      <c r="P29" s="132">
        <f>P27+P28</f>
        <v>4213.4568001605348</v>
      </c>
      <c r="Q29" s="132">
        <f>Q27+Q28</f>
        <v>4172.3209827747942</v>
      </c>
      <c r="R29" s="132">
        <f t="shared" ref="R29:T29" si="41">R27+R28</f>
        <v>4131.6671982321623</v>
      </c>
      <c r="S29" s="132">
        <f t="shared" si="41"/>
        <v>4091.4897980327064</v>
      </c>
      <c r="T29" s="132">
        <f t="shared" si="41"/>
        <v>4051.7831998660686</v>
      </c>
    </row>
    <row r="30" spans="1:20" x14ac:dyDescent="0.25">
      <c r="A30" s="53" t="s">
        <v>231</v>
      </c>
      <c r="B30" s="38">
        <v>0.15</v>
      </c>
      <c r="C30" s="38">
        <f>B30</f>
        <v>0.15</v>
      </c>
      <c r="D30" s="38">
        <v>0.6</v>
      </c>
      <c r="E30" s="38">
        <f>D30</f>
        <v>0.6</v>
      </c>
      <c r="F30" s="38">
        <f>E30</f>
        <v>0.6</v>
      </c>
      <c r="G30" s="89">
        <v>0.35</v>
      </c>
      <c r="H30" s="128">
        <v>0.35</v>
      </c>
      <c r="I30" s="128">
        <v>0.25</v>
      </c>
      <c r="J30" s="128">
        <v>0.25</v>
      </c>
      <c r="K30" s="128">
        <v>0.2</v>
      </c>
      <c r="L30" s="128">
        <v>0.2</v>
      </c>
      <c r="M30" s="128">
        <v>0.2</v>
      </c>
      <c r="N30" s="128">
        <v>0.2</v>
      </c>
      <c r="O30" s="128">
        <v>0.2</v>
      </c>
      <c r="P30" s="128">
        <v>0.2</v>
      </c>
      <c r="Q30" s="128">
        <v>0.2</v>
      </c>
      <c r="R30" s="128">
        <v>0.2</v>
      </c>
      <c r="S30" s="128">
        <v>0.2</v>
      </c>
      <c r="T30" s="128">
        <v>0.2</v>
      </c>
    </row>
    <row r="31" spans="1:20" x14ac:dyDescent="0.25">
      <c r="A31" s="47" t="s">
        <v>232</v>
      </c>
      <c r="B31" s="25">
        <f>B32-B29</f>
        <v>686.4705882352946</v>
      </c>
      <c r="C31" s="25">
        <f t="shared" ref="C31:O31" si="42">C32-C29</f>
        <v>681.17647058823513</v>
      </c>
      <c r="D31" s="25">
        <f t="shared" si="42"/>
        <v>5374.5</v>
      </c>
      <c r="E31" s="25">
        <f t="shared" si="42"/>
        <v>5587.5</v>
      </c>
      <c r="F31" s="25">
        <f t="shared" si="42"/>
        <v>6591.7666147345153</v>
      </c>
      <c r="G31" s="25">
        <f t="shared" si="42"/>
        <v>2470.6320139970385</v>
      </c>
      <c r="H31" s="109">
        <f t="shared" si="42"/>
        <v>2447.695839601135</v>
      </c>
      <c r="I31" s="109">
        <f t="shared" si="42"/>
        <v>1501.2420807520512</v>
      </c>
      <c r="J31" s="109">
        <f t="shared" si="42"/>
        <v>1487.4156369125849</v>
      </c>
      <c r="K31" s="109">
        <f t="shared" si="42"/>
        <v>1105.2777733380035</v>
      </c>
      <c r="L31" s="109">
        <f t="shared" si="42"/>
        <v>1095.0367582581503</v>
      </c>
      <c r="M31" s="109">
        <f t="shared" si="42"/>
        <v>1084.7098646451332</v>
      </c>
      <c r="N31" s="109">
        <f t="shared" si="42"/>
        <v>1074.3400317655341</v>
      </c>
      <c r="O31" s="109">
        <f t="shared" si="42"/>
        <v>1063.9057899860618</v>
      </c>
      <c r="P31" s="109">
        <f>P32-P29</f>
        <v>1053.3642000401333</v>
      </c>
      <c r="Q31" s="109">
        <f>Q32-Q29</f>
        <v>1043.0802456936981</v>
      </c>
      <c r="R31" s="109">
        <f t="shared" ref="R31:T31" si="43">R32-R29</f>
        <v>1032.9167995580401</v>
      </c>
      <c r="S31" s="109">
        <f t="shared" si="43"/>
        <v>1022.8724495081765</v>
      </c>
      <c r="T31" s="109">
        <f t="shared" si="43"/>
        <v>1012.9457999665165</v>
      </c>
    </row>
    <row r="32" spans="1:20" x14ac:dyDescent="0.25">
      <c r="A32" s="93" t="s">
        <v>293</v>
      </c>
      <c r="B32" s="33">
        <f>B29/(1-B30)*100/100</f>
        <v>4576.4705882352946</v>
      </c>
      <c r="C32" s="33">
        <f t="shared" ref="C32:O32" si="44">C29/(1-C30)*100/100</f>
        <v>4541.1764705882351</v>
      </c>
      <c r="D32" s="33">
        <f t="shared" si="44"/>
        <v>8957.5</v>
      </c>
      <c r="E32" s="33">
        <f t="shared" si="44"/>
        <v>9312.5</v>
      </c>
      <c r="F32" s="33">
        <f t="shared" si="44"/>
        <v>10986.277691224193</v>
      </c>
      <c r="G32" s="33">
        <f t="shared" si="44"/>
        <v>7058.9486114201109</v>
      </c>
      <c r="H32" s="114">
        <f t="shared" si="44"/>
        <v>6993.4166845746722</v>
      </c>
      <c r="I32" s="114">
        <f t="shared" si="44"/>
        <v>6004.9683230082037</v>
      </c>
      <c r="J32" s="114">
        <f t="shared" si="44"/>
        <v>5949.6625476503395</v>
      </c>
      <c r="K32" s="114">
        <f t="shared" si="44"/>
        <v>5526.3888666900193</v>
      </c>
      <c r="L32" s="114">
        <f t="shared" si="44"/>
        <v>5475.183791290754</v>
      </c>
      <c r="M32" s="114">
        <f t="shared" si="44"/>
        <v>5423.5493232256686</v>
      </c>
      <c r="N32" s="114">
        <f t="shared" si="44"/>
        <v>5371.7001588276726</v>
      </c>
      <c r="O32" s="114">
        <f t="shared" si="44"/>
        <v>5319.528949930309</v>
      </c>
      <c r="P32" s="114">
        <f>P29/(1-P30)*100/100</f>
        <v>5266.8210002006681</v>
      </c>
      <c r="Q32" s="114">
        <f>Q29/(1-Q30)*100/100</f>
        <v>5215.4012284684923</v>
      </c>
      <c r="R32" s="114">
        <f t="shared" ref="R32:T32" si="45">R29/(1-R30)*100/100</f>
        <v>5164.5839977902024</v>
      </c>
      <c r="S32" s="114">
        <f t="shared" si="45"/>
        <v>5114.3622475408829</v>
      </c>
      <c r="T32" s="114">
        <f t="shared" si="45"/>
        <v>5064.728999832585</v>
      </c>
    </row>
    <row r="33" spans="1:20" x14ac:dyDescent="0.25">
      <c r="A33" s="48" t="s">
        <v>178</v>
      </c>
      <c r="B33" s="36">
        <f>'Majapidamiste nõudlus asulates'!D143</f>
        <v>510</v>
      </c>
      <c r="C33" s="36">
        <f>'Majapidamiste nõudlus asulates'!E143</f>
        <v>590</v>
      </c>
      <c r="D33" s="36">
        <f>'Majapidamiste nõudlus asulates'!F143</f>
        <v>548</v>
      </c>
      <c r="E33" s="36">
        <f>'Majapidamiste nõudlus asulates'!G143</f>
        <v>541</v>
      </c>
      <c r="F33" s="36">
        <f>'Majapidamiste nõudlus asulates'!H143</f>
        <v>882.56237829417125</v>
      </c>
      <c r="G33" s="36">
        <f>'Majapidamiste nõudlus asulates'!I143</f>
        <v>873.16335626812076</v>
      </c>
      <c r="H33" s="132">
        <f>'Majapidamiste nõudlus asulates'!J143</f>
        <v>863.59063568306749</v>
      </c>
      <c r="I33" s="132">
        <f>'Majapidamiste nõudlus asulates'!K143</f>
        <v>854.1530139772384</v>
      </c>
      <c r="J33" s="132">
        <f>'Majapidamiste nõudlus asulates'!L143</f>
        <v>844.831191310745</v>
      </c>
      <c r="K33" s="132">
        <f>'Majapidamiste nõudlus asulates'!M143</f>
        <v>835.58656800380822</v>
      </c>
      <c r="L33" s="132">
        <f>'Majapidamiste nõudlus asulates'!N143</f>
        <v>826.38054437664982</v>
      </c>
      <c r="M33" s="132">
        <f>'Majapidamiste nõudlus asulates'!O143</f>
        <v>817.09732138993479</v>
      </c>
      <c r="N33" s="132">
        <f>'Majapidamiste nõudlus asulates'!P143</f>
        <v>807.77549872344127</v>
      </c>
      <c r="O33" s="132">
        <f>'Majapidamiste nõudlus asulates'!Q143</f>
        <v>798.39577653727986</v>
      </c>
      <c r="P33" s="132">
        <f>'Majapidamiste nõudlus asulates'!R143</f>
        <v>788.91955515167274</v>
      </c>
      <c r="Q33" s="132">
        <f>'Majapidamiste nõudlus asulates'!S143</f>
        <v>779.67493184473608</v>
      </c>
      <c r="R33" s="132">
        <f>'Majapidamiste nõudlus asulates'!T143</f>
        <v>770.53863778319464</v>
      </c>
      <c r="S33" s="132">
        <f>'Majapidamiste nõudlus asulates'!U143</f>
        <v>761.50940355616842</v>
      </c>
      <c r="T33" s="132">
        <f>'Majapidamiste nõudlus asulates'!V143</f>
        <v>752.58597462783689</v>
      </c>
    </row>
    <row r="34" spans="1:20" x14ac:dyDescent="0.25">
      <c r="A34" s="48" t="s">
        <v>179</v>
      </c>
      <c r="B34" s="21">
        <v>220</v>
      </c>
      <c r="C34" s="21">
        <v>120</v>
      </c>
      <c r="D34" s="21">
        <v>224</v>
      </c>
      <c r="E34" s="21">
        <v>256</v>
      </c>
      <c r="F34" s="21">
        <v>256</v>
      </c>
      <c r="G34" s="21">
        <v>256</v>
      </c>
      <c r="H34" s="23">
        <v>256</v>
      </c>
      <c r="I34" s="23">
        <v>256</v>
      </c>
      <c r="J34" s="23">
        <v>256</v>
      </c>
      <c r="K34" s="23">
        <v>256</v>
      </c>
      <c r="L34" s="23">
        <v>256</v>
      </c>
      <c r="M34" s="23">
        <v>256</v>
      </c>
      <c r="N34" s="23">
        <v>256</v>
      </c>
      <c r="O34" s="23">
        <v>256</v>
      </c>
      <c r="P34" s="23">
        <v>256</v>
      </c>
      <c r="Q34" s="23">
        <v>256</v>
      </c>
      <c r="R34" s="23">
        <v>256</v>
      </c>
      <c r="S34" s="23">
        <v>256</v>
      </c>
      <c r="T34" s="23">
        <v>256</v>
      </c>
    </row>
    <row r="35" spans="1:20" x14ac:dyDescent="0.25">
      <c r="A35" s="52" t="s">
        <v>211</v>
      </c>
      <c r="B35" s="36">
        <f>B33+B34</f>
        <v>730</v>
      </c>
      <c r="C35" s="36">
        <f t="shared" ref="C35:O35" si="46">C33+C34</f>
        <v>710</v>
      </c>
      <c r="D35" s="36">
        <f t="shared" si="46"/>
        <v>772</v>
      </c>
      <c r="E35" s="36">
        <f t="shared" si="46"/>
        <v>797</v>
      </c>
      <c r="F35" s="36">
        <f t="shared" si="46"/>
        <v>1138.5623782941711</v>
      </c>
      <c r="G35" s="36">
        <f t="shared" si="46"/>
        <v>1129.1633562681209</v>
      </c>
      <c r="H35" s="132">
        <f t="shared" si="46"/>
        <v>1119.5906356830674</v>
      </c>
      <c r="I35" s="132">
        <f t="shared" si="46"/>
        <v>1110.1530139772385</v>
      </c>
      <c r="J35" s="132">
        <f t="shared" si="46"/>
        <v>1100.831191310745</v>
      </c>
      <c r="K35" s="132">
        <f t="shared" si="46"/>
        <v>1091.5865680038082</v>
      </c>
      <c r="L35" s="132">
        <f t="shared" si="46"/>
        <v>1082.3805443766498</v>
      </c>
      <c r="M35" s="132">
        <f t="shared" si="46"/>
        <v>1073.0973213899347</v>
      </c>
      <c r="N35" s="132">
        <f t="shared" si="46"/>
        <v>1063.7754987234412</v>
      </c>
      <c r="O35" s="132">
        <f t="shared" si="46"/>
        <v>1054.3957765372797</v>
      </c>
      <c r="P35" s="132">
        <f>P33+P34</f>
        <v>1044.9195551516727</v>
      </c>
      <c r="Q35" s="132">
        <f>Q33+Q34</f>
        <v>1035.674931844736</v>
      </c>
      <c r="R35" s="132">
        <f t="shared" ref="R35:T35" si="47">R33+R34</f>
        <v>1026.5386377831946</v>
      </c>
      <c r="S35" s="132">
        <f t="shared" si="47"/>
        <v>1017.5094035561684</v>
      </c>
      <c r="T35" s="132">
        <f t="shared" si="47"/>
        <v>1008.5859746278369</v>
      </c>
    </row>
    <row r="36" spans="1:20" x14ac:dyDescent="0.25">
      <c r="A36" s="21" t="s">
        <v>231</v>
      </c>
      <c r="B36" s="38">
        <v>0.3</v>
      </c>
      <c r="C36" s="38">
        <f>B36</f>
        <v>0.3</v>
      </c>
      <c r="D36" s="38">
        <f t="shared" ref="D36:O36" si="48">C36</f>
        <v>0.3</v>
      </c>
      <c r="E36" s="38">
        <f t="shared" si="48"/>
        <v>0.3</v>
      </c>
      <c r="F36" s="38">
        <f t="shared" si="48"/>
        <v>0.3</v>
      </c>
      <c r="G36" s="38">
        <f t="shared" si="48"/>
        <v>0.3</v>
      </c>
      <c r="H36" s="128">
        <f t="shared" si="48"/>
        <v>0.3</v>
      </c>
      <c r="I36" s="128">
        <f t="shared" si="48"/>
        <v>0.3</v>
      </c>
      <c r="J36" s="128">
        <f t="shared" si="48"/>
        <v>0.3</v>
      </c>
      <c r="K36" s="128">
        <f t="shared" si="48"/>
        <v>0.3</v>
      </c>
      <c r="L36" s="128">
        <f t="shared" si="48"/>
        <v>0.3</v>
      </c>
      <c r="M36" s="128">
        <f t="shared" si="48"/>
        <v>0.3</v>
      </c>
      <c r="N36" s="128">
        <f t="shared" si="48"/>
        <v>0.3</v>
      </c>
      <c r="O36" s="128">
        <f t="shared" si="48"/>
        <v>0.3</v>
      </c>
      <c r="P36" s="128">
        <f>O36</f>
        <v>0.3</v>
      </c>
      <c r="Q36" s="128">
        <f>P36</f>
        <v>0.3</v>
      </c>
      <c r="R36" s="128">
        <f t="shared" ref="R36:T36" si="49">Q36</f>
        <v>0.3</v>
      </c>
      <c r="S36" s="128">
        <f t="shared" si="49"/>
        <v>0.3</v>
      </c>
      <c r="T36" s="128">
        <f t="shared" si="49"/>
        <v>0.3</v>
      </c>
    </row>
    <row r="37" spans="1:20" x14ac:dyDescent="0.25">
      <c r="A37" s="47" t="s">
        <v>232</v>
      </c>
      <c r="B37" s="25">
        <f>B38-B35</f>
        <v>312.85714285714289</v>
      </c>
      <c r="C37" s="25">
        <f t="shared" ref="C37:O37" si="50">C38-C35</f>
        <v>304.28571428571433</v>
      </c>
      <c r="D37" s="25">
        <f t="shared" si="50"/>
        <v>330.85714285714289</v>
      </c>
      <c r="E37" s="25">
        <f t="shared" si="50"/>
        <v>341.57142857142867</v>
      </c>
      <c r="F37" s="25">
        <f t="shared" si="50"/>
        <v>487.95530498321637</v>
      </c>
      <c r="G37" s="25">
        <f t="shared" si="50"/>
        <v>483.92715268633765</v>
      </c>
      <c r="H37" s="109">
        <f t="shared" si="50"/>
        <v>479.82455814988612</v>
      </c>
      <c r="I37" s="109">
        <f t="shared" si="50"/>
        <v>475.77986313310203</v>
      </c>
      <c r="J37" s="109">
        <f t="shared" si="50"/>
        <v>471.7847962760336</v>
      </c>
      <c r="K37" s="109">
        <f t="shared" si="50"/>
        <v>467.82281485877502</v>
      </c>
      <c r="L37" s="109">
        <f t="shared" si="50"/>
        <v>463.87737616142135</v>
      </c>
      <c r="M37" s="109">
        <f t="shared" si="50"/>
        <v>459.89885202425785</v>
      </c>
      <c r="N37" s="109">
        <f t="shared" si="50"/>
        <v>455.9037851671892</v>
      </c>
      <c r="O37" s="109">
        <f t="shared" si="50"/>
        <v>451.88390423026294</v>
      </c>
      <c r="P37" s="109">
        <f>P38-P35</f>
        <v>447.82266649357416</v>
      </c>
      <c r="Q37" s="109">
        <f>Q38-Q35</f>
        <v>443.86068507631535</v>
      </c>
      <c r="R37" s="109">
        <f t="shared" ref="R37:T37" si="51">R38-R35</f>
        <v>439.94513047851183</v>
      </c>
      <c r="S37" s="109">
        <f t="shared" si="51"/>
        <v>436.07545866692942</v>
      </c>
      <c r="T37" s="109">
        <f t="shared" si="51"/>
        <v>432.2511319833585</v>
      </c>
    </row>
    <row r="38" spans="1:20" x14ac:dyDescent="0.25">
      <c r="A38" s="93" t="s">
        <v>294</v>
      </c>
      <c r="B38" s="33">
        <f>B35/(1-B36)*100/100</f>
        <v>1042.8571428571429</v>
      </c>
      <c r="C38" s="33">
        <f t="shared" ref="C38:O38" si="52">C35/(1-C36)*100/100</f>
        <v>1014.2857142857143</v>
      </c>
      <c r="D38" s="33">
        <f t="shared" si="52"/>
        <v>1102.8571428571429</v>
      </c>
      <c r="E38" s="33">
        <f t="shared" si="52"/>
        <v>1138.5714285714287</v>
      </c>
      <c r="F38" s="33">
        <f t="shared" si="52"/>
        <v>1626.5176832773875</v>
      </c>
      <c r="G38" s="33">
        <f t="shared" si="52"/>
        <v>1613.0905089544585</v>
      </c>
      <c r="H38" s="114">
        <f t="shared" si="52"/>
        <v>1599.4151938329535</v>
      </c>
      <c r="I38" s="114">
        <f t="shared" si="52"/>
        <v>1585.9328771103405</v>
      </c>
      <c r="J38" s="114">
        <f t="shared" si="52"/>
        <v>1572.6159875867786</v>
      </c>
      <c r="K38" s="114">
        <f t="shared" si="52"/>
        <v>1559.4093828625832</v>
      </c>
      <c r="L38" s="114">
        <f t="shared" si="52"/>
        <v>1546.2579205380712</v>
      </c>
      <c r="M38" s="114">
        <f t="shared" si="52"/>
        <v>1532.9961734141925</v>
      </c>
      <c r="N38" s="114">
        <f t="shared" si="52"/>
        <v>1519.6792838906304</v>
      </c>
      <c r="O38" s="114">
        <f t="shared" si="52"/>
        <v>1506.2796807675427</v>
      </c>
      <c r="P38" s="114">
        <f>P35/(1-P36)*100/100</f>
        <v>1492.7422216452469</v>
      </c>
      <c r="Q38" s="114">
        <f>Q35/(1-Q36)*100/100</f>
        <v>1479.5356169210513</v>
      </c>
      <c r="R38" s="114">
        <f t="shared" ref="R38:T38" si="53">R35/(1-R36)*100/100</f>
        <v>1466.4837682617065</v>
      </c>
      <c r="S38" s="114">
        <f t="shared" si="53"/>
        <v>1453.5848622230978</v>
      </c>
      <c r="T38" s="114">
        <f t="shared" si="53"/>
        <v>1440.8371066111954</v>
      </c>
    </row>
    <row r="39" spans="1:20" x14ac:dyDescent="0.25">
      <c r="A39" s="64" t="s">
        <v>244</v>
      </c>
      <c r="B39" s="36">
        <f>'Majapidamiste nõudlus asulates'!D144</f>
        <v>1590</v>
      </c>
      <c r="C39" s="36">
        <f>'Majapidamiste nõudlus asulates'!E144</f>
        <v>1580</v>
      </c>
      <c r="D39" s="36">
        <f>'Majapidamiste nõudlus asulates'!F144</f>
        <v>1224</v>
      </c>
      <c r="E39" s="36">
        <f>'Majapidamiste nõudlus asulates'!G144</f>
        <v>1145</v>
      </c>
      <c r="F39" s="36">
        <f>'Majapidamiste nõudlus asulates'!H144</f>
        <v>1182.1490442844192</v>
      </c>
      <c r="G39" s="36">
        <f>'Majapidamiste nõudlus asulates'!I144</f>
        <v>1174.7823025075331</v>
      </c>
      <c r="H39" s="132">
        <f>'Majapidamiste nõudlus asulates'!J144</f>
        <v>1167.2794197121832</v>
      </c>
      <c r="I39" s="132">
        <f>'Majapidamiste nõudlus asulates'!K144</f>
        <v>1159.882424375638</v>
      </c>
      <c r="J39" s="132">
        <f>'Majapidamiste nõudlus asulates'!L144</f>
        <v>1152.5761897180694</v>
      </c>
      <c r="K39" s="132">
        <f>'Majapidamiste nõudlus asulates'!M144</f>
        <v>1145.3304621798177</v>
      </c>
      <c r="L39" s="132">
        <f>'Majapidamiste nõudlus asulates'!N144</f>
        <v>1138.1149882012246</v>
      </c>
      <c r="M39" s="132">
        <f>'Majapidamiste nõudlus asulates'!O144</f>
        <v>1130.8390071033143</v>
      </c>
      <c r="N39" s="132">
        <f>'Majapidamiste nõudlus asulates'!P144</f>
        <v>1123.5327724457454</v>
      </c>
      <c r="O39" s="132">
        <f>'Majapidamiste nõudlus asulates'!Q144</f>
        <v>1116.1811574486887</v>
      </c>
      <c r="P39" s="132">
        <f>'Majapidamiste nõudlus asulates'!R144</f>
        <v>1108.7539085524847</v>
      </c>
      <c r="Q39" s="132">
        <f>'Majapidamiste nõudlus asulates'!S144</f>
        <v>1101.5081810142333</v>
      </c>
      <c r="R39" s="132">
        <f>'Majapidamiste nõudlus asulates'!T144</f>
        <v>1094.347359498704</v>
      </c>
      <c r="S39" s="132">
        <f>'Majapidamiste nõudlus asulates'!U144</f>
        <v>1087.2704490702395</v>
      </c>
      <c r="T39" s="132">
        <f>'Majapidamiste nõudlus asulates'!V144</f>
        <v>1080.2764664519184</v>
      </c>
    </row>
    <row r="40" spans="1:20" x14ac:dyDescent="0.25">
      <c r="A40" s="48" t="s">
        <v>191</v>
      </c>
      <c r="B40" s="21">
        <v>0</v>
      </c>
      <c r="C40" s="21">
        <v>0</v>
      </c>
      <c r="D40" s="21">
        <v>209</v>
      </c>
      <c r="E40" s="21">
        <v>343</v>
      </c>
      <c r="F40" s="21">
        <v>0</v>
      </c>
      <c r="G40" s="21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</row>
    <row r="41" spans="1:20" x14ac:dyDescent="0.25">
      <c r="A41" s="52" t="s">
        <v>212</v>
      </c>
      <c r="B41" s="36">
        <f>B39+B40</f>
        <v>1590</v>
      </c>
      <c r="C41" s="36">
        <f t="shared" ref="C41:O41" si="54">C39+C40</f>
        <v>1580</v>
      </c>
      <c r="D41" s="36">
        <f t="shared" si="54"/>
        <v>1433</v>
      </c>
      <c r="E41" s="36">
        <f t="shared" si="54"/>
        <v>1488</v>
      </c>
      <c r="F41" s="36">
        <f t="shared" si="54"/>
        <v>1182.1490442844192</v>
      </c>
      <c r="G41" s="36">
        <f t="shared" si="54"/>
        <v>1174.7823025075331</v>
      </c>
      <c r="H41" s="132">
        <f t="shared" si="54"/>
        <v>1167.2794197121832</v>
      </c>
      <c r="I41" s="132">
        <f t="shared" si="54"/>
        <v>1159.882424375638</v>
      </c>
      <c r="J41" s="132">
        <f t="shared" si="54"/>
        <v>1152.5761897180694</v>
      </c>
      <c r="K41" s="132">
        <f t="shared" si="54"/>
        <v>1145.3304621798177</v>
      </c>
      <c r="L41" s="132">
        <f t="shared" si="54"/>
        <v>1138.1149882012246</v>
      </c>
      <c r="M41" s="132">
        <f t="shared" si="54"/>
        <v>1130.8390071033143</v>
      </c>
      <c r="N41" s="132">
        <f t="shared" si="54"/>
        <v>1123.5327724457454</v>
      </c>
      <c r="O41" s="132">
        <f t="shared" si="54"/>
        <v>1116.1811574486887</v>
      </c>
      <c r="P41" s="132">
        <f>P39+P40</f>
        <v>1108.7539085524847</v>
      </c>
      <c r="Q41" s="132">
        <f>Q39+Q40</f>
        <v>1101.5081810142333</v>
      </c>
      <c r="R41" s="132">
        <f t="shared" ref="R41:T41" si="55">R39+R40</f>
        <v>1094.347359498704</v>
      </c>
      <c r="S41" s="132">
        <f t="shared" si="55"/>
        <v>1087.2704490702395</v>
      </c>
      <c r="T41" s="132">
        <f t="shared" si="55"/>
        <v>1080.2764664519184</v>
      </c>
    </row>
    <row r="42" spans="1:20" x14ac:dyDescent="0.25">
      <c r="A42" s="21" t="s">
        <v>231</v>
      </c>
      <c r="B42" s="38">
        <v>0.3</v>
      </c>
      <c r="C42" s="38">
        <f>B42</f>
        <v>0.3</v>
      </c>
      <c r="D42" s="38">
        <f t="shared" ref="D42:O42" si="56">C42</f>
        <v>0.3</v>
      </c>
      <c r="E42" s="38">
        <f t="shared" si="56"/>
        <v>0.3</v>
      </c>
      <c r="F42" s="38">
        <f t="shared" si="56"/>
        <v>0.3</v>
      </c>
      <c r="G42" s="38">
        <f t="shared" si="56"/>
        <v>0.3</v>
      </c>
      <c r="H42" s="128">
        <f t="shared" si="56"/>
        <v>0.3</v>
      </c>
      <c r="I42" s="128">
        <f t="shared" si="56"/>
        <v>0.3</v>
      </c>
      <c r="J42" s="128">
        <f t="shared" si="56"/>
        <v>0.3</v>
      </c>
      <c r="K42" s="128">
        <f t="shared" si="56"/>
        <v>0.3</v>
      </c>
      <c r="L42" s="128">
        <f t="shared" si="56"/>
        <v>0.3</v>
      </c>
      <c r="M42" s="128">
        <f t="shared" si="56"/>
        <v>0.3</v>
      </c>
      <c r="N42" s="128">
        <f t="shared" si="56"/>
        <v>0.3</v>
      </c>
      <c r="O42" s="128">
        <f t="shared" si="56"/>
        <v>0.3</v>
      </c>
      <c r="P42" s="128">
        <f>O42</f>
        <v>0.3</v>
      </c>
      <c r="Q42" s="128">
        <f>P42</f>
        <v>0.3</v>
      </c>
      <c r="R42" s="128">
        <f t="shared" ref="R42:T42" si="57">Q42</f>
        <v>0.3</v>
      </c>
      <c r="S42" s="128">
        <f t="shared" si="57"/>
        <v>0.3</v>
      </c>
      <c r="T42" s="128">
        <f t="shared" si="57"/>
        <v>0.3</v>
      </c>
    </row>
    <row r="43" spans="1:20" x14ac:dyDescent="0.25">
      <c r="A43" s="47" t="s">
        <v>232</v>
      </c>
      <c r="B43" s="25">
        <f>B44-B41</f>
        <v>681.42857142857156</v>
      </c>
      <c r="C43" s="25">
        <f t="shared" ref="C43:O43" si="58">C44-C41</f>
        <v>677.14285714285734</v>
      </c>
      <c r="D43" s="25">
        <f t="shared" si="58"/>
        <v>614.14285714285734</v>
      </c>
      <c r="E43" s="25">
        <f t="shared" si="58"/>
        <v>637.71428571428578</v>
      </c>
      <c r="F43" s="25">
        <f t="shared" si="58"/>
        <v>506.63530469332272</v>
      </c>
      <c r="G43" s="25">
        <f t="shared" si="58"/>
        <v>503.47812964608579</v>
      </c>
      <c r="H43" s="109">
        <f t="shared" si="58"/>
        <v>500.26260844807871</v>
      </c>
      <c r="I43" s="109">
        <f t="shared" si="58"/>
        <v>497.09246758955919</v>
      </c>
      <c r="J43" s="109">
        <f t="shared" si="58"/>
        <v>493.96122416488697</v>
      </c>
      <c r="K43" s="109">
        <f t="shared" si="58"/>
        <v>490.85591236277901</v>
      </c>
      <c r="L43" s="109">
        <f t="shared" si="58"/>
        <v>487.7635663719534</v>
      </c>
      <c r="M43" s="109">
        <f t="shared" si="58"/>
        <v>484.64528875856331</v>
      </c>
      <c r="N43" s="109">
        <f t="shared" si="58"/>
        <v>481.51404533389109</v>
      </c>
      <c r="O43" s="109">
        <f t="shared" si="58"/>
        <v>478.36335319229511</v>
      </c>
      <c r="P43" s="109">
        <f>P44-P41</f>
        <v>475.18024652249346</v>
      </c>
      <c r="Q43" s="109">
        <f>Q44-Q41</f>
        <v>472.07493472038573</v>
      </c>
      <c r="R43" s="109">
        <f t="shared" ref="R43:T43" si="59">R44-R41</f>
        <v>469.00601121373029</v>
      </c>
      <c r="S43" s="109">
        <f t="shared" si="59"/>
        <v>465.97304960153133</v>
      </c>
      <c r="T43" s="109">
        <f t="shared" si="59"/>
        <v>462.97562847939366</v>
      </c>
    </row>
    <row r="44" spans="1:20" x14ac:dyDescent="0.25">
      <c r="A44" s="93" t="s">
        <v>295</v>
      </c>
      <c r="B44" s="33">
        <f>B41/(1-B42)*100/100</f>
        <v>2271.4285714285716</v>
      </c>
      <c r="C44" s="33">
        <f t="shared" ref="C44:O44" si="60">C41/(1-C42)*100/100</f>
        <v>2257.1428571428573</v>
      </c>
      <c r="D44" s="33">
        <f t="shared" si="60"/>
        <v>2047.1428571428573</v>
      </c>
      <c r="E44" s="33">
        <f t="shared" si="60"/>
        <v>2125.7142857142858</v>
      </c>
      <c r="F44" s="33">
        <f t="shared" si="60"/>
        <v>1688.784348977742</v>
      </c>
      <c r="G44" s="33">
        <f t="shared" si="60"/>
        <v>1678.2604321536189</v>
      </c>
      <c r="H44" s="114">
        <f t="shared" si="60"/>
        <v>1667.5420281602619</v>
      </c>
      <c r="I44" s="114">
        <f t="shared" si="60"/>
        <v>1656.9748919651972</v>
      </c>
      <c r="J44" s="114">
        <f t="shared" si="60"/>
        <v>1646.5374138829563</v>
      </c>
      <c r="K44" s="114">
        <f t="shared" si="60"/>
        <v>1636.1863745425967</v>
      </c>
      <c r="L44" s="114">
        <f t="shared" si="60"/>
        <v>1625.878554573178</v>
      </c>
      <c r="M44" s="114">
        <f t="shared" si="60"/>
        <v>1615.4842958618776</v>
      </c>
      <c r="N44" s="114">
        <f t="shared" si="60"/>
        <v>1605.0468177796365</v>
      </c>
      <c r="O44" s="114">
        <f t="shared" si="60"/>
        <v>1594.5445106409838</v>
      </c>
      <c r="P44" s="114">
        <f>P41/(1-P42)*100/100</f>
        <v>1583.9341550749782</v>
      </c>
      <c r="Q44" s="114">
        <f>Q41/(1-Q42)*100/100</f>
        <v>1573.583115734619</v>
      </c>
      <c r="R44" s="114">
        <f t="shared" ref="R44:T44" si="61">R41/(1-R42)*100/100</f>
        <v>1563.3533707124343</v>
      </c>
      <c r="S44" s="114">
        <f t="shared" si="61"/>
        <v>1553.2434986717708</v>
      </c>
      <c r="T44" s="114">
        <f t="shared" si="61"/>
        <v>1543.2520949313121</v>
      </c>
    </row>
    <row r="45" spans="1:20" x14ac:dyDescent="0.25">
      <c r="A45" s="48" t="s">
        <v>180</v>
      </c>
      <c r="B45" s="36">
        <f>'Majapidamiste nõudlus asulates'!D145</f>
        <v>1080</v>
      </c>
      <c r="C45" s="36">
        <f>'Majapidamiste nõudlus asulates'!E145</f>
        <v>970</v>
      </c>
      <c r="D45" s="36">
        <f>'Majapidamiste nõudlus asulates'!F145</f>
        <v>951</v>
      </c>
      <c r="E45" s="36">
        <f>'Majapidamiste nõudlus asulates'!G145</f>
        <v>1064</v>
      </c>
      <c r="F45" s="36">
        <f>'Majapidamiste nõudlus asulates'!H145</f>
        <v>1052.7425678307152</v>
      </c>
      <c r="G45" s="36">
        <f>'Majapidamiste nõudlus asulates'!I145</f>
        <v>1041.5311783287896</v>
      </c>
      <c r="H45" s="132">
        <f>'Majapidamiste nõudlus asulates'!J145</f>
        <v>1030.1125968237482</v>
      </c>
      <c r="I45" s="132">
        <f>'Majapidamiste nõudlus asulates'!K145</f>
        <v>1018.8551646544636</v>
      </c>
      <c r="J45" s="132">
        <f>'Majapidamiste nõudlus asulates'!L145</f>
        <v>1007.7358604872562</v>
      </c>
      <c r="K45" s="132">
        <f>'Majapidamiste nõudlus asulates'!M145</f>
        <v>996.70864165476667</v>
      </c>
      <c r="L45" s="132">
        <f>'Majapidamiste nõudlus asulates'!N145</f>
        <v>985.72746548963596</v>
      </c>
      <c r="M45" s="132">
        <f>'Majapidamiste nõudlus asulates'!O145</f>
        <v>974.65420398978767</v>
      </c>
      <c r="N45" s="132">
        <f>'Majapidamiste nõudlus asulates'!P145</f>
        <v>963.53489982258009</v>
      </c>
      <c r="O45" s="132">
        <f>'Majapidamiste nõudlus asulates'!Q145</f>
        <v>952.34653165433383</v>
      </c>
      <c r="P45" s="132">
        <f>'Majapidamiste nõudlus asulates'!R145</f>
        <v>941.04305681769029</v>
      </c>
      <c r="Q45" s="132">
        <f>'Majapidamiste nõudlus asulates'!S145</f>
        <v>930.01583798520073</v>
      </c>
      <c r="R45" s="132">
        <f>'Majapidamiste nõudlus asulates'!T145</f>
        <v>919.11783699699424</v>
      </c>
      <c r="S45" s="132">
        <f>'Majapidamiste nõudlus asulates'!U145</f>
        <v>908.34753966789583</v>
      </c>
      <c r="T45" s="132">
        <f>'Majapidamiste nõudlus asulates'!V145</f>
        <v>897.70344955607447</v>
      </c>
    </row>
    <row r="46" spans="1:20" x14ac:dyDescent="0.25">
      <c r="A46" s="48" t="s">
        <v>181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</row>
    <row r="47" spans="1:20" x14ac:dyDescent="0.25">
      <c r="A47" s="52" t="s">
        <v>213</v>
      </c>
      <c r="B47" s="36">
        <f>B45+B46</f>
        <v>1080</v>
      </c>
      <c r="C47" s="36">
        <f t="shared" ref="C47:O47" si="62">C45+C46</f>
        <v>970</v>
      </c>
      <c r="D47" s="36">
        <f t="shared" si="62"/>
        <v>951</v>
      </c>
      <c r="E47" s="36">
        <f t="shared" si="62"/>
        <v>1064</v>
      </c>
      <c r="F47" s="36">
        <f t="shared" si="62"/>
        <v>1052.7425678307152</v>
      </c>
      <c r="G47" s="36">
        <f t="shared" si="62"/>
        <v>1041.5311783287896</v>
      </c>
      <c r="H47" s="132">
        <f t="shared" si="62"/>
        <v>1030.1125968237482</v>
      </c>
      <c r="I47" s="132">
        <f t="shared" si="62"/>
        <v>1018.8551646544636</v>
      </c>
      <c r="J47" s="132">
        <f t="shared" si="62"/>
        <v>1007.7358604872562</v>
      </c>
      <c r="K47" s="132">
        <f t="shared" si="62"/>
        <v>996.70864165476667</v>
      </c>
      <c r="L47" s="132">
        <f t="shared" si="62"/>
        <v>985.72746548963596</v>
      </c>
      <c r="M47" s="132">
        <f t="shared" si="62"/>
        <v>974.65420398978767</v>
      </c>
      <c r="N47" s="132">
        <f t="shared" si="62"/>
        <v>963.53489982258009</v>
      </c>
      <c r="O47" s="132">
        <f t="shared" si="62"/>
        <v>952.34653165433383</v>
      </c>
      <c r="P47" s="132">
        <f>P45+P46</f>
        <v>941.04305681769029</v>
      </c>
      <c r="Q47" s="132">
        <f>Q45+Q46</f>
        <v>930.01583798520073</v>
      </c>
      <c r="R47" s="132">
        <f t="shared" ref="R47:T47" si="63">R45+R46</f>
        <v>919.11783699699424</v>
      </c>
      <c r="S47" s="132">
        <f t="shared" si="63"/>
        <v>908.34753966789583</v>
      </c>
      <c r="T47" s="132">
        <f t="shared" si="63"/>
        <v>897.70344955607447</v>
      </c>
    </row>
    <row r="48" spans="1:20" x14ac:dyDescent="0.25">
      <c r="A48" s="21" t="s">
        <v>231</v>
      </c>
      <c r="B48" s="38">
        <v>0.3</v>
      </c>
      <c r="C48" s="38">
        <f>B48</f>
        <v>0.3</v>
      </c>
      <c r="D48" s="38">
        <f t="shared" ref="D48:O48" si="64">C48</f>
        <v>0.3</v>
      </c>
      <c r="E48" s="38">
        <f t="shared" si="64"/>
        <v>0.3</v>
      </c>
      <c r="F48" s="38">
        <f t="shared" si="64"/>
        <v>0.3</v>
      </c>
      <c r="G48" s="38">
        <f t="shared" si="64"/>
        <v>0.3</v>
      </c>
      <c r="H48" s="128">
        <f t="shared" si="64"/>
        <v>0.3</v>
      </c>
      <c r="I48" s="128">
        <f t="shared" si="64"/>
        <v>0.3</v>
      </c>
      <c r="J48" s="128">
        <f t="shared" si="64"/>
        <v>0.3</v>
      </c>
      <c r="K48" s="128">
        <f t="shared" si="64"/>
        <v>0.3</v>
      </c>
      <c r="L48" s="128">
        <f t="shared" si="64"/>
        <v>0.3</v>
      </c>
      <c r="M48" s="128">
        <f t="shared" si="64"/>
        <v>0.3</v>
      </c>
      <c r="N48" s="128">
        <f t="shared" si="64"/>
        <v>0.3</v>
      </c>
      <c r="O48" s="128">
        <f t="shared" si="64"/>
        <v>0.3</v>
      </c>
      <c r="P48" s="128">
        <f>O48</f>
        <v>0.3</v>
      </c>
      <c r="Q48" s="128">
        <f>P48</f>
        <v>0.3</v>
      </c>
      <c r="R48" s="128">
        <f t="shared" ref="R48:T48" si="65">Q48</f>
        <v>0.3</v>
      </c>
      <c r="S48" s="128">
        <f t="shared" si="65"/>
        <v>0.3</v>
      </c>
      <c r="T48" s="128">
        <f t="shared" si="65"/>
        <v>0.3</v>
      </c>
    </row>
    <row r="49" spans="1:20" x14ac:dyDescent="0.25">
      <c r="A49" s="47" t="s">
        <v>232</v>
      </c>
      <c r="B49" s="25">
        <f>B50-B47</f>
        <v>462.85714285714289</v>
      </c>
      <c r="C49" s="25">
        <f t="shared" ref="C49:O49" si="66">C50-C47</f>
        <v>415.71428571428578</v>
      </c>
      <c r="D49" s="25">
        <f t="shared" si="66"/>
        <v>407.57142857142867</v>
      </c>
      <c r="E49" s="25">
        <f t="shared" si="66"/>
        <v>456</v>
      </c>
      <c r="F49" s="25">
        <f t="shared" si="66"/>
        <v>451.17538621316385</v>
      </c>
      <c r="G49" s="25">
        <f t="shared" si="66"/>
        <v>446.37050499805287</v>
      </c>
      <c r="H49" s="109">
        <f t="shared" si="66"/>
        <v>441.47682721017782</v>
      </c>
      <c r="I49" s="109">
        <f t="shared" si="66"/>
        <v>436.65221342334166</v>
      </c>
      <c r="J49" s="109">
        <f t="shared" si="66"/>
        <v>431.88679735168137</v>
      </c>
      <c r="K49" s="109">
        <f t="shared" si="66"/>
        <v>427.16084642347153</v>
      </c>
      <c r="L49" s="109">
        <f t="shared" si="66"/>
        <v>422.45462806698697</v>
      </c>
      <c r="M49" s="109">
        <f t="shared" si="66"/>
        <v>417.70894456705196</v>
      </c>
      <c r="N49" s="109">
        <f t="shared" si="66"/>
        <v>412.94352849539166</v>
      </c>
      <c r="O49" s="109">
        <f t="shared" si="66"/>
        <v>408.14851356614327</v>
      </c>
      <c r="P49" s="109">
        <f>P50-P47</f>
        <v>403.30416720758171</v>
      </c>
      <c r="Q49" s="109">
        <f>Q50-Q47</f>
        <v>398.57821627937187</v>
      </c>
      <c r="R49" s="109">
        <f t="shared" ref="R49:T49" si="67">R50-R47</f>
        <v>393.90764442728334</v>
      </c>
      <c r="S49" s="109">
        <f t="shared" si="67"/>
        <v>389.29180271481266</v>
      </c>
      <c r="T49" s="109">
        <f t="shared" si="67"/>
        <v>384.73004980974633</v>
      </c>
    </row>
    <row r="50" spans="1:20" x14ac:dyDescent="0.25">
      <c r="A50" s="93" t="s">
        <v>296</v>
      </c>
      <c r="B50" s="33">
        <f>B47/(1-B48)*100/100</f>
        <v>1542.8571428571429</v>
      </c>
      <c r="C50" s="33">
        <f t="shared" ref="C50:O50" si="68">C47/(1-C48)*100/100</f>
        <v>1385.7142857142858</v>
      </c>
      <c r="D50" s="33">
        <f t="shared" si="68"/>
        <v>1358.5714285714287</v>
      </c>
      <c r="E50" s="33">
        <f t="shared" si="68"/>
        <v>1520</v>
      </c>
      <c r="F50" s="33">
        <f t="shared" si="68"/>
        <v>1503.917954043879</v>
      </c>
      <c r="G50" s="33">
        <f t="shared" si="68"/>
        <v>1487.9016833268424</v>
      </c>
      <c r="H50" s="114">
        <f t="shared" si="68"/>
        <v>1471.589424033926</v>
      </c>
      <c r="I50" s="114">
        <f t="shared" si="68"/>
        <v>1455.5073780778052</v>
      </c>
      <c r="J50" s="114">
        <f t="shared" si="68"/>
        <v>1439.6226578389376</v>
      </c>
      <c r="K50" s="114">
        <f t="shared" si="68"/>
        <v>1423.8694880782382</v>
      </c>
      <c r="L50" s="114">
        <f t="shared" si="68"/>
        <v>1408.1820935566229</v>
      </c>
      <c r="M50" s="114">
        <f t="shared" si="68"/>
        <v>1392.3631485568396</v>
      </c>
      <c r="N50" s="114">
        <f t="shared" si="68"/>
        <v>1376.4784283179717</v>
      </c>
      <c r="O50" s="114">
        <f t="shared" si="68"/>
        <v>1360.4950452204771</v>
      </c>
      <c r="P50" s="114">
        <f>P47/(1-P48)*100/100</f>
        <v>1344.347224025272</v>
      </c>
      <c r="Q50" s="114">
        <f>Q47/(1-Q48)*100/100</f>
        <v>1328.5940542645726</v>
      </c>
      <c r="R50" s="114">
        <f t="shared" ref="R50:T50" si="69">R47/(1-R48)*100/100</f>
        <v>1313.0254814242776</v>
      </c>
      <c r="S50" s="114">
        <f t="shared" si="69"/>
        <v>1297.6393423827085</v>
      </c>
      <c r="T50" s="114">
        <f t="shared" si="69"/>
        <v>1282.4334993658208</v>
      </c>
    </row>
    <row r="51" spans="1:20" x14ac:dyDescent="0.25">
      <c r="A51" s="48" t="s">
        <v>182</v>
      </c>
      <c r="B51" s="36">
        <f>'Majapidamiste nõudlus asulates'!D146</f>
        <v>8790</v>
      </c>
      <c r="C51" s="36">
        <f>'Majapidamiste nõudlus asulates'!E146</f>
        <v>8931.4790161774781</v>
      </c>
      <c r="D51" s="36">
        <f>'Majapidamiste nõudlus asulates'!F146</f>
        <v>8084</v>
      </c>
      <c r="E51" s="36">
        <f>'Majapidamiste nõudlus asulates'!G146</f>
        <v>7711</v>
      </c>
      <c r="F51" s="36">
        <f>'Majapidamiste nõudlus asulates'!H146</f>
        <v>7696.5436792857927</v>
      </c>
      <c r="G51" s="36">
        <f>'Majapidamiste nõudlus asulates'!I146</f>
        <v>7614.5778201633066</v>
      </c>
      <c r="H51" s="132">
        <f>'Majapidamiste nõudlus asulates'!J146</f>
        <v>7531.0971915703822</v>
      </c>
      <c r="I51" s="132">
        <f>'Majapidamiste nõudlus asulates'!K146</f>
        <v>7448.7947170100215</v>
      </c>
      <c r="J51" s="132">
        <f>'Majapidamiste nõudlus asulates'!L146</f>
        <v>7367.5020887632845</v>
      </c>
      <c r="K51" s="132">
        <f>'Majapidamiste nõudlus asulates'!M146</f>
        <v>7286.8826913922976</v>
      </c>
      <c r="L51" s="132">
        <f>'Majapidamiste nõudlus asulates'!N146</f>
        <v>7206.5999094591834</v>
      </c>
      <c r="M51" s="132">
        <f>'Majapidamiste nõudlus asulates'!O146</f>
        <v>7125.643896650321</v>
      </c>
      <c r="N51" s="132">
        <f>'Majapidamiste nõudlus asulates'!P146</f>
        <v>7044.3512684035859</v>
      </c>
      <c r="O51" s="132">
        <f>'Majapidamiste nõudlus asulates'!Q146</f>
        <v>6962.5537170000352</v>
      </c>
      <c r="P51" s="132">
        <f>'Majapidamiste nõudlus asulates'!R146</f>
        <v>6879.9146270018009</v>
      </c>
      <c r="Q51" s="132">
        <f>'Majapidamiste nõudlus asulates'!S146</f>
        <v>6799.2952296308122</v>
      </c>
      <c r="R51" s="132">
        <f>'Majapidamiste nõudlus asulates'!T146</f>
        <v>6719.6205368942337</v>
      </c>
      <c r="S51" s="132">
        <f>'Majapidamiste nõudlus asulates'!U146</f>
        <v>6640.8794786665667</v>
      </c>
      <c r="T51" s="132">
        <f>'Majapidamiste nõudlus asulates'!V146</f>
        <v>6563.0611145429439</v>
      </c>
    </row>
    <row r="52" spans="1:20" x14ac:dyDescent="0.25">
      <c r="A52" s="48" t="s">
        <v>183</v>
      </c>
      <c r="B52" s="21">
        <v>0</v>
      </c>
      <c r="C52" s="21">
        <v>0</v>
      </c>
      <c r="D52" s="21">
        <v>532</v>
      </c>
      <c r="E52" s="21">
        <v>454</v>
      </c>
      <c r="F52" s="21">
        <f>(D52+E52)/2</f>
        <v>493</v>
      </c>
      <c r="G52" s="21">
        <f t="shared" ref="G52:O52" si="70">F52</f>
        <v>493</v>
      </c>
      <c r="H52" s="23">
        <f t="shared" si="70"/>
        <v>493</v>
      </c>
      <c r="I52" s="23">
        <f t="shared" si="70"/>
        <v>493</v>
      </c>
      <c r="J52" s="23">
        <f t="shared" si="70"/>
        <v>493</v>
      </c>
      <c r="K52" s="23">
        <f t="shared" si="70"/>
        <v>493</v>
      </c>
      <c r="L52" s="23">
        <f t="shared" si="70"/>
        <v>493</v>
      </c>
      <c r="M52" s="23">
        <f t="shared" si="70"/>
        <v>493</v>
      </c>
      <c r="N52" s="23">
        <f t="shared" si="70"/>
        <v>493</v>
      </c>
      <c r="O52" s="23">
        <f t="shared" si="70"/>
        <v>493</v>
      </c>
      <c r="P52" s="23">
        <f>O52</f>
        <v>493</v>
      </c>
      <c r="Q52" s="23">
        <f>P52</f>
        <v>493</v>
      </c>
      <c r="R52" s="23">
        <f t="shared" ref="R52:T52" si="71">Q52</f>
        <v>493</v>
      </c>
      <c r="S52" s="23">
        <f t="shared" si="71"/>
        <v>493</v>
      </c>
      <c r="T52" s="23">
        <f t="shared" si="71"/>
        <v>493</v>
      </c>
    </row>
    <row r="53" spans="1:20" x14ac:dyDescent="0.25">
      <c r="A53" s="52" t="s">
        <v>214</v>
      </c>
      <c r="B53" s="36">
        <f>B51+B52</f>
        <v>8790</v>
      </c>
      <c r="C53" s="36">
        <f t="shared" ref="C53:O53" si="72">C51+C52</f>
        <v>8931.4790161774781</v>
      </c>
      <c r="D53" s="36">
        <f t="shared" si="72"/>
        <v>8616</v>
      </c>
      <c r="E53" s="36">
        <f t="shared" si="72"/>
        <v>8165</v>
      </c>
      <c r="F53" s="36">
        <f t="shared" si="72"/>
        <v>8189.5436792857927</v>
      </c>
      <c r="G53" s="36">
        <f t="shared" si="72"/>
        <v>8107.5778201633066</v>
      </c>
      <c r="H53" s="132">
        <f t="shared" si="72"/>
        <v>8024.0971915703822</v>
      </c>
      <c r="I53" s="132">
        <f t="shared" si="72"/>
        <v>7941.7947170100215</v>
      </c>
      <c r="J53" s="132">
        <f t="shared" si="72"/>
        <v>7860.5020887632845</v>
      </c>
      <c r="K53" s="132">
        <f t="shared" si="72"/>
        <v>7779.8826913922976</v>
      </c>
      <c r="L53" s="132">
        <f t="shared" si="72"/>
        <v>7699.5999094591834</v>
      </c>
      <c r="M53" s="132">
        <f t="shared" si="72"/>
        <v>7618.643896650321</v>
      </c>
      <c r="N53" s="132">
        <f t="shared" si="72"/>
        <v>7537.3512684035859</v>
      </c>
      <c r="O53" s="132">
        <f t="shared" si="72"/>
        <v>7455.5537170000352</v>
      </c>
      <c r="P53" s="132">
        <f>P51+P52</f>
        <v>7372.9146270018009</v>
      </c>
      <c r="Q53" s="132">
        <f>Q51+Q52</f>
        <v>7292.2952296308122</v>
      </c>
      <c r="R53" s="132">
        <f t="shared" ref="R53:T53" si="73">R51+R52</f>
        <v>7212.6205368942337</v>
      </c>
      <c r="S53" s="132">
        <f t="shared" si="73"/>
        <v>7133.8794786665667</v>
      </c>
      <c r="T53" s="132">
        <f t="shared" si="73"/>
        <v>7056.0611145429439</v>
      </c>
    </row>
    <row r="54" spans="1:20" x14ac:dyDescent="0.25">
      <c r="A54" s="21" t="s">
        <v>231</v>
      </c>
      <c r="B54" s="37">
        <v>6.3E-2</v>
      </c>
      <c r="C54" s="37">
        <v>6.3E-2</v>
      </c>
      <c r="D54" s="37">
        <v>6.6500000000000004E-2</v>
      </c>
      <c r="E54" s="37">
        <v>0.10767</v>
      </c>
      <c r="F54" s="37">
        <f>(D54+E54)/2</f>
        <v>8.7084999999999996E-2</v>
      </c>
      <c r="G54" s="37">
        <f>F54</f>
        <v>8.7084999999999996E-2</v>
      </c>
      <c r="H54" s="133">
        <f t="shared" ref="H54:O54" si="74">G54</f>
        <v>8.7084999999999996E-2</v>
      </c>
      <c r="I54" s="133">
        <f t="shared" si="74"/>
        <v>8.7084999999999996E-2</v>
      </c>
      <c r="J54" s="133">
        <f t="shared" si="74"/>
        <v>8.7084999999999996E-2</v>
      </c>
      <c r="K54" s="133">
        <f t="shared" si="74"/>
        <v>8.7084999999999996E-2</v>
      </c>
      <c r="L54" s="133">
        <f t="shared" si="74"/>
        <v>8.7084999999999996E-2</v>
      </c>
      <c r="M54" s="133">
        <f t="shared" si="74"/>
        <v>8.7084999999999996E-2</v>
      </c>
      <c r="N54" s="133">
        <f t="shared" si="74"/>
        <v>8.7084999999999996E-2</v>
      </c>
      <c r="O54" s="133">
        <f t="shared" si="74"/>
        <v>8.7084999999999996E-2</v>
      </c>
      <c r="P54" s="133">
        <f>O54</f>
        <v>8.7084999999999996E-2</v>
      </c>
      <c r="Q54" s="133">
        <f>P54</f>
        <v>8.7084999999999996E-2</v>
      </c>
      <c r="R54" s="133">
        <f t="shared" ref="R54:T54" si="75">Q54</f>
        <v>8.7084999999999996E-2</v>
      </c>
      <c r="S54" s="133">
        <f t="shared" si="75"/>
        <v>8.7084999999999996E-2</v>
      </c>
      <c r="T54" s="133">
        <f t="shared" si="75"/>
        <v>8.7084999999999996E-2</v>
      </c>
    </row>
    <row r="55" spans="1:20" x14ac:dyDescent="0.25">
      <c r="A55" s="47" t="s">
        <v>232</v>
      </c>
      <c r="B55" s="25">
        <f>B56-B53</f>
        <v>591.00320170757732</v>
      </c>
      <c r="C55" s="25">
        <f t="shared" ref="C55:O55" si="76">C56-C53</f>
        <v>600.51566490841105</v>
      </c>
      <c r="D55" s="25">
        <f t="shared" si="76"/>
        <v>613.78039635779351</v>
      </c>
      <c r="E55" s="25">
        <f t="shared" si="76"/>
        <v>985.20227942577367</v>
      </c>
      <c r="F55" s="25">
        <f t="shared" si="76"/>
        <v>781.2188553267315</v>
      </c>
      <c r="G55" s="25">
        <f t="shared" si="76"/>
        <v>773.39994903021852</v>
      </c>
      <c r="H55" s="109">
        <f t="shared" si="76"/>
        <v>765.43654549208532</v>
      </c>
      <c r="I55" s="109">
        <f t="shared" si="76"/>
        <v>757.58552869743289</v>
      </c>
      <c r="J55" s="109">
        <f t="shared" si="76"/>
        <v>749.83084339719517</v>
      </c>
      <c r="K55" s="109">
        <f t="shared" si="76"/>
        <v>742.14037909323179</v>
      </c>
      <c r="L55" s="109">
        <f t="shared" si="76"/>
        <v>734.48202528740603</v>
      </c>
      <c r="M55" s="109">
        <f t="shared" si="76"/>
        <v>726.75945048530593</v>
      </c>
      <c r="N55" s="109">
        <f t="shared" si="76"/>
        <v>719.00476518506821</v>
      </c>
      <c r="O55" s="109">
        <f t="shared" si="76"/>
        <v>711.20191413762223</v>
      </c>
      <c r="P55" s="109">
        <f>P56-P53</f>
        <v>703.31878684483399</v>
      </c>
      <c r="Q55" s="109">
        <f>Q56-Q53</f>
        <v>695.6283225408697</v>
      </c>
      <c r="R55" s="109">
        <f t="shared" ref="R55:T55" si="77">R56-R53</f>
        <v>688.02797572110649</v>
      </c>
      <c r="S55" s="109">
        <f t="shared" si="77"/>
        <v>680.51669038155524</v>
      </c>
      <c r="T55" s="109">
        <f t="shared" si="77"/>
        <v>673.09342289257165</v>
      </c>
    </row>
    <row r="56" spans="1:20" x14ac:dyDescent="0.25">
      <c r="A56" s="93" t="s">
        <v>297</v>
      </c>
      <c r="B56" s="33">
        <f>B53/(1-B54)*100/100</f>
        <v>9381.0032017075773</v>
      </c>
      <c r="C56" s="33">
        <f t="shared" ref="C56:O56" si="78">C53/(1-C54)*100/100</f>
        <v>9531.9946810858892</v>
      </c>
      <c r="D56" s="33">
        <f t="shared" si="78"/>
        <v>9229.7803963577935</v>
      </c>
      <c r="E56" s="33">
        <f t="shared" si="78"/>
        <v>9150.2022794257737</v>
      </c>
      <c r="F56" s="33">
        <f t="shared" si="78"/>
        <v>8970.7625346125242</v>
      </c>
      <c r="G56" s="33">
        <f t="shared" si="78"/>
        <v>8880.9777691935251</v>
      </c>
      <c r="H56" s="114">
        <f t="shared" si="78"/>
        <v>8789.5337370624675</v>
      </c>
      <c r="I56" s="114">
        <f t="shared" si="78"/>
        <v>8699.3802457074544</v>
      </c>
      <c r="J56" s="114">
        <f t="shared" si="78"/>
        <v>8610.3329321604797</v>
      </c>
      <c r="K56" s="114">
        <f t="shared" si="78"/>
        <v>8522.0230704855294</v>
      </c>
      <c r="L56" s="114">
        <f t="shared" si="78"/>
        <v>8434.0819347465895</v>
      </c>
      <c r="M56" s="114">
        <f t="shared" si="78"/>
        <v>8345.403347135627</v>
      </c>
      <c r="N56" s="114">
        <f t="shared" si="78"/>
        <v>8256.3560335886541</v>
      </c>
      <c r="O56" s="114">
        <f t="shared" si="78"/>
        <v>8166.7556311376575</v>
      </c>
      <c r="P56" s="114">
        <f>P53/(1-P54)*100/100</f>
        <v>8076.2334138466349</v>
      </c>
      <c r="Q56" s="114">
        <f>Q53/(1-Q54)*100/100</f>
        <v>7987.9235521716819</v>
      </c>
      <c r="R56" s="114">
        <f t="shared" ref="R56:T56" si="79">R53/(1-R54)*100/100</f>
        <v>7900.6485126153402</v>
      </c>
      <c r="S56" s="114">
        <f t="shared" si="79"/>
        <v>7814.3961690481219</v>
      </c>
      <c r="T56" s="114">
        <f t="shared" si="79"/>
        <v>7729.1545374355155</v>
      </c>
    </row>
    <row r="57" spans="1:20" x14ac:dyDescent="0.25">
      <c r="A57" s="48" t="s">
        <v>184</v>
      </c>
      <c r="B57" s="36">
        <f>'Majapidamiste nõudlus asulates'!D147</f>
        <v>340</v>
      </c>
      <c r="C57" s="36">
        <f>'Majapidamiste nõudlus asulates'!E147</f>
        <v>357.91095456291066</v>
      </c>
      <c r="D57" s="36">
        <f>'Majapidamiste nõudlus asulates'!F147</f>
        <v>215</v>
      </c>
      <c r="E57" s="36">
        <f>'Majapidamiste nõudlus asulates'!G147</f>
        <v>220</v>
      </c>
      <c r="F57" s="36">
        <f>'Majapidamiste nõudlus asulates'!H147</f>
        <v>234.86751809112752</v>
      </c>
      <c r="G57" s="36">
        <f>'Majapidamiste nõudlus asulates'!I147</f>
        <v>232.36625015807897</v>
      </c>
      <c r="H57" s="132">
        <f>'Majapidamiste nõudlus asulates'!J147</f>
        <v>229.81875756096991</v>
      </c>
      <c r="I57" s="132">
        <f>'Majapidamiste nõudlus asulates'!K147</f>
        <v>227.30721748035234</v>
      </c>
      <c r="J57" s="132">
        <f>'Majapidamiste nõudlus asulates'!L147</f>
        <v>224.82649384244172</v>
      </c>
      <c r="K57" s="132">
        <f>'Majapidamiste nõudlus asulates'!M147</f>
        <v>222.36631449966913</v>
      </c>
      <c r="L57" s="132">
        <f>'Majapidamiste nõudlus asulates'!N147</f>
        <v>219.91640730446545</v>
      </c>
      <c r="M57" s="132">
        <f>'Majapidamiste nõudlus asulates'!O147</f>
        <v>217.44595581412378</v>
      </c>
      <c r="N57" s="132">
        <f>'Majapidamiste nõudlus asulates'!P147</f>
        <v>214.96523217621322</v>
      </c>
      <c r="O57" s="132">
        <f>'Majapidamiste nõudlus asulates'!Q147</f>
        <v>212.4691003169491</v>
      </c>
      <c r="P57" s="132">
        <f>'Majapidamiste nõudlus asulates'!R147</f>
        <v>209.94728808876258</v>
      </c>
      <c r="Q57" s="132">
        <f>'Majapidamiste nõudlus asulates'!S147</f>
        <v>207.48710874598996</v>
      </c>
      <c r="R57" s="132">
        <f>'Majapidamiste nõudlus asulates'!T147</f>
        <v>205.05575798420875</v>
      </c>
      <c r="S57" s="132">
        <f>'Majapidamiste nõudlus asulates'!U147</f>
        <v>202.65289798776976</v>
      </c>
      <c r="T57" s="132">
        <f>'Majapidamiste nõudlus asulates'!V147</f>
        <v>200.27819489957494</v>
      </c>
    </row>
    <row r="58" spans="1:20" x14ac:dyDescent="0.25">
      <c r="A58" s="48" t="s">
        <v>185</v>
      </c>
      <c r="B58" s="21">
        <v>0</v>
      </c>
      <c r="C58" s="21">
        <v>184</v>
      </c>
      <c r="D58" s="21">
        <v>141</v>
      </c>
      <c r="E58" s="25">
        <f>(C58+D58)/2</f>
        <v>162.5</v>
      </c>
      <c r="F58" s="25">
        <f>E58</f>
        <v>162.5</v>
      </c>
      <c r="G58" s="25">
        <f t="shared" ref="G58:O58" si="80">(E58+F58)/2</f>
        <v>162.5</v>
      </c>
      <c r="H58" s="109">
        <f t="shared" si="80"/>
        <v>162.5</v>
      </c>
      <c r="I58" s="109">
        <f t="shared" si="80"/>
        <v>162.5</v>
      </c>
      <c r="J58" s="109">
        <f t="shared" si="80"/>
        <v>162.5</v>
      </c>
      <c r="K58" s="109">
        <f t="shared" si="80"/>
        <v>162.5</v>
      </c>
      <c r="L58" s="109">
        <f t="shared" si="80"/>
        <v>162.5</v>
      </c>
      <c r="M58" s="109">
        <f t="shared" si="80"/>
        <v>162.5</v>
      </c>
      <c r="N58" s="109">
        <f t="shared" si="80"/>
        <v>162.5</v>
      </c>
      <c r="O58" s="109">
        <f t="shared" si="80"/>
        <v>162.5</v>
      </c>
      <c r="P58" s="109">
        <f>(N58+O58)/2</f>
        <v>162.5</v>
      </c>
      <c r="Q58" s="109">
        <f>(O58+P58)/2</f>
        <v>162.5</v>
      </c>
      <c r="R58" s="109">
        <f t="shared" ref="R58:T58" si="81">(P58+Q58)/2</f>
        <v>162.5</v>
      </c>
      <c r="S58" s="109">
        <f t="shared" si="81"/>
        <v>162.5</v>
      </c>
      <c r="T58" s="109">
        <f t="shared" si="81"/>
        <v>162.5</v>
      </c>
    </row>
    <row r="59" spans="1:20" x14ac:dyDescent="0.25">
      <c r="A59" s="52" t="s">
        <v>215</v>
      </c>
      <c r="B59" s="36">
        <f>B57+B58</f>
        <v>340</v>
      </c>
      <c r="C59" s="36">
        <f t="shared" ref="C59:O59" si="82">C57+C58</f>
        <v>541.91095456291066</v>
      </c>
      <c r="D59" s="36">
        <f t="shared" si="82"/>
        <v>356</v>
      </c>
      <c r="E59" s="36">
        <f t="shared" si="82"/>
        <v>382.5</v>
      </c>
      <c r="F59" s="36">
        <f t="shared" si="82"/>
        <v>397.36751809112752</v>
      </c>
      <c r="G59" s="36">
        <f t="shared" si="82"/>
        <v>394.86625015807897</v>
      </c>
      <c r="H59" s="132">
        <f t="shared" si="82"/>
        <v>392.31875756096991</v>
      </c>
      <c r="I59" s="132">
        <f t="shared" si="82"/>
        <v>389.80721748035234</v>
      </c>
      <c r="J59" s="132">
        <f t="shared" si="82"/>
        <v>387.32649384244172</v>
      </c>
      <c r="K59" s="132">
        <f t="shared" si="82"/>
        <v>384.8663144996691</v>
      </c>
      <c r="L59" s="132">
        <f t="shared" si="82"/>
        <v>382.41640730446545</v>
      </c>
      <c r="M59" s="132">
        <f t="shared" si="82"/>
        <v>379.94595581412375</v>
      </c>
      <c r="N59" s="132">
        <f t="shared" si="82"/>
        <v>377.46523217621325</v>
      </c>
      <c r="O59" s="132">
        <f t="shared" si="82"/>
        <v>374.9691003169491</v>
      </c>
      <c r="P59" s="132">
        <f>P57+P58</f>
        <v>372.44728808876255</v>
      </c>
      <c r="Q59" s="132">
        <f>Q57+Q58</f>
        <v>369.98710874598999</v>
      </c>
      <c r="R59" s="132">
        <f t="shared" ref="R59:T59" si="83">R57+R58</f>
        <v>367.55575798420875</v>
      </c>
      <c r="S59" s="132">
        <f t="shared" si="83"/>
        <v>365.15289798776973</v>
      </c>
      <c r="T59" s="132">
        <f t="shared" si="83"/>
        <v>362.77819489957494</v>
      </c>
    </row>
    <row r="60" spans="1:20" x14ac:dyDescent="0.25">
      <c r="A60" s="21" t="s">
        <v>231</v>
      </c>
      <c r="B60" s="38">
        <v>0.15</v>
      </c>
      <c r="C60" s="38">
        <v>0.15</v>
      </c>
      <c r="D60" s="38">
        <v>0.15</v>
      </c>
      <c r="E60" s="38">
        <v>0.15</v>
      </c>
      <c r="F60" s="38">
        <v>0.15</v>
      </c>
      <c r="G60" s="38">
        <v>0.15</v>
      </c>
      <c r="H60" s="128">
        <v>0.15</v>
      </c>
      <c r="I60" s="128">
        <v>0.15</v>
      </c>
      <c r="J60" s="128">
        <v>0.15</v>
      </c>
      <c r="K60" s="128">
        <v>0.15</v>
      </c>
      <c r="L60" s="128">
        <v>0.15</v>
      </c>
      <c r="M60" s="128">
        <v>0.15</v>
      </c>
      <c r="N60" s="128">
        <v>0.15</v>
      </c>
      <c r="O60" s="128">
        <v>0.15</v>
      </c>
      <c r="P60" s="128">
        <v>0.15</v>
      </c>
      <c r="Q60" s="128">
        <v>0.15</v>
      </c>
      <c r="R60" s="128">
        <v>0.15</v>
      </c>
      <c r="S60" s="128">
        <v>0.15</v>
      </c>
      <c r="T60" s="128">
        <v>0.15</v>
      </c>
    </row>
    <row r="61" spans="1:20" x14ac:dyDescent="0.25">
      <c r="A61" s="47" t="s">
        <v>232</v>
      </c>
      <c r="B61" s="25">
        <f>B62-B59</f>
        <v>60</v>
      </c>
      <c r="C61" s="25">
        <f t="shared" ref="C61:O61" si="84">C62-C59</f>
        <v>95.63134492286656</v>
      </c>
      <c r="D61" s="25">
        <f t="shared" si="84"/>
        <v>62.823529411764696</v>
      </c>
      <c r="E61" s="25">
        <f t="shared" si="84"/>
        <v>67.5</v>
      </c>
      <c r="F61" s="25">
        <f t="shared" si="84"/>
        <v>70.123679663140138</v>
      </c>
      <c r="G61" s="25">
        <f t="shared" si="84"/>
        <v>69.682279439660988</v>
      </c>
      <c r="H61" s="109">
        <f t="shared" si="84"/>
        <v>69.232721922524149</v>
      </c>
      <c r="I61" s="109">
        <f t="shared" si="84"/>
        <v>68.78950896712098</v>
      </c>
      <c r="J61" s="109">
        <f t="shared" si="84"/>
        <v>68.351734207489756</v>
      </c>
      <c r="K61" s="109">
        <f t="shared" si="84"/>
        <v>67.917584911706342</v>
      </c>
      <c r="L61" s="109">
        <f t="shared" si="84"/>
        <v>67.485248347846778</v>
      </c>
      <c r="M61" s="109">
        <f t="shared" si="84"/>
        <v>67.049286320139515</v>
      </c>
      <c r="N61" s="109">
        <f t="shared" si="84"/>
        <v>66.611511560508234</v>
      </c>
      <c r="O61" s="109">
        <f t="shared" si="84"/>
        <v>66.171017702991037</v>
      </c>
      <c r="P61" s="109">
        <f>P62-P59</f>
        <v>65.725992015663962</v>
      </c>
      <c r="Q61" s="109">
        <f>Q62-Q59</f>
        <v>65.291842719880549</v>
      </c>
      <c r="R61" s="109">
        <f t="shared" ref="R61:T61" si="85">R62-R59</f>
        <v>64.862780820742728</v>
      </c>
      <c r="S61" s="109">
        <f t="shared" si="85"/>
        <v>64.438746703724064</v>
      </c>
      <c r="T61" s="109">
        <f t="shared" si="85"/>
        <v>64.019681452866166</v>
      </c>
    </row>
    <row r="62" spans="1:20" x14ac:dyDescent="0.25">
      <c r="A62" s="93" t="s">
        <v>298</v>
      </c>
      <c r="B62" s="33">
        <f>B59/(1-B60)*100/100</f>
        <v>400</v>
      </c>
      <c r="C62" s="33">
        <f t="shared" ref="C62:O62" si="86">C59/(1-C60)*100/100</f>
        <v>637.54229948577722</v>
      </c>
      <c r="D62" s="33">
        <f t="shared" si="86"/>
        <v>418.8235294117647</v>
      </c>
      <c r="E62" s="33">
        <f t="shared" si="86"/>
        <v>450</v>
      </c>
      <c r="F62" s="33">
        <f t="shared" si="86"/>
        <v>467.49119775426766</v>
      </c>
      <c r="G62" s="33">
        <f t="shared" si="86"/>
        <v>464.54852959773996</v>
      </c>
      <c r="H62" s="114">
        <f t="shared" si="86"/>
        <v>461.55147948349406</v>
      </c>
      <c r="I62" s="114">
        <f t="shared" si="86"/>
        <v>458.59672644747332</v>
      </c>
      <c r="J62" s="114">
        <f t="shared" si="86"/>
        <v>455.67822804993148</v>
      </c>
      <c r="K62" s="114">
        <f t="shared" si="86"/>
        <v>452.78389941137544</v>
      </c>
      <c r="L62" s="114">
        <f t="shared" si="86"/>
        <v>449.90165565231223</v>
      </c>
      <c r="M62" s="114">
        <f t="shared" si="86"/>
        <v>446.99524213426326</v>
      </c>
      <c r="N62" s="114">
        <f t="shared" si="86"/>
        <v>444.07674373672148</v>
      </c>
      <c r="O62" s="114">
        <f t="shared" si="86"/>
        <v>441.14011801994013</v>
      </c>
      <c r="P62" s="114">
        <f>P59/(1-P60)*100/100</f>
        <v>438.17328010442651</v>
      </c>
      <c r="Q62" s="114">
        <f>Q59/(1-Q60)*100/100</f>
        <v>435.27895146587053</v>
      </c>
      <c r="R62" s="114">
        <f t="shared" ref="R62:T62" si="87">R59/(1-R60)*100/100</f>
        <v>432.41853880495148</v>
      </c>
      <c r="S62" s="114">
        <f t="shared" si="87"/>
        <v>429.5916446914938</v>
      </c>
      <c r="T62" s="114">
        <f t="shared" si="87"/>
        <v>426.79787635244111</v>
      </c>
    </row>
    <row r="63" spans="1:20" x14ac:dyDescent="0.25">
      <c r="A63" s="48" t="s">
        <v>186</v>
      </c>
      <c r="B63" s="36">
        <f>'Majapidamiste nõudlus asulates'!D148</f>
        <v>2160</v>
      </c>
      <c r="C63" s="36">
        <f>'Majapidamiste nõudlus asulates'!E148</f>
        <v>2000.189782918492</v>
      </c>
      <c r="D63" s="36">
        <f>'Majapidamiste nõudlus asulates'!F148</f>
        <v>1947</v>
      </c>
      <c r="E63" s="36">
        <f>'Majapidamiste nõudlus asulates'!G148</f>
        <v>2071</v>
      </c>
      <c r="F63" s="36">
        <f>'Majapidamiste nõudlus asulates'!H148</f>
        <v>1743.3879667262506</v>
      </c>
      <c r="G63" s="36">
        <f>'Majapidamiste nõudlus asulates'!I148</f>
        <v>1724.8214129027319</v>
      </c>
      <c r="H63" s="132">
        <f>'Majapidamiste nõudlus asulates'!J148</f>
        <v>1705.9117400147131</v>
      </c>
      <c r="I63" s="132">
        <f>'Majapidamiste nõudlus asulates'!K148</f>
        <v>1687.2689375101943</v>
      </c>
      <c r="J63" s="132">
        <f>'Majapidamiste nõudlus asulates'!L148</f>
        <v>1668.8548810486757</v>
      </c>
      <c r="K63" s="132">
        <f>'Majapidamiste nõudlus asulates'!M148</f>
        <v>1650.5933219491574</v>
      </c>
      <c r="L63" s="132">
        <f>'Majapidamiste nõudlus asulates'!N148</f>
        <v>1632.4080115306394</v>
      </c>
      <c r="M63" s="132">
        <f>'Majapidamiste nõudlus asulates'!O148</f>
        <v>1614.070203750121</v>
      </c>
      <c r="N63" s="132">
        <f>'Majapidamiste nõudlus asulates'!P148</f>
        <v>1595.6561472886024</v>
      </c>
      <c r="O63" s="132">
        <f>'Majapidamiste nõudlus asulates'!Q148</f>
        <v>1577.1277178055836</v>
      </c>
      <c r="P63" s="132">
        <f>'Majapidamiste nõudlus asulates'!R148</f>
        <v>1558.4086666200649</v>
      </c>
      <c r="Q63" s="132">
        <f>'Majapidamiste nõudlus asulates'!S148</f>
        <v>1540.147107520547</v>
      </c>
      <c r="R63" s="132">
        <f>'Majapidamiste nõudlus asulates'!T148</f>
        <v>1522.0995388510667</v>
      </c>
      <c r="S63" s="132">
        <f>'Majapidamiste nõudlus asulates'!U148</f>
        <v>1504.2634530544165</v>
      </c>
      <c r="T63" s="132">
        <f>'Majapidamiste nõudlus asulates'!V148</f>
        <v>1486.6363719571475</v>
      </c>
    </row>
    <row r="64" spans="1:20" x14ac:dyDescent="0.25">
      <c r="A64" s="48" t="s">
        <v>187</v>
      </c>
      <c r="B64" s="21">
        <v>0</v>
      </c>
      <c r="C64" s="21">
        <v>127</v>
      </c>
      <c r="D64" s="21">
        <v>111</v>
      </c>
      <c r="E64" s="25">
        <f>(C64+D64)/2</f>
        <v>119</v>
      </c>
      <c r="F64" s="25">
        <f>E64</f>
        <v>119</v>
      </c>
      <c r="G64" s="25">
        <f t="shared" ref="G64:O64" si="88">F64</f>
        <v>119</v>
      </c>
      <c r="H64" s="109">
        <f t="shared" si="88"/>
        <v>119</v>
      </c>
      <c r="I64" s="109">
        <f t="shared" si="88"/>
        <v>119</v>
      </c>
      <c r="J64" s="109">
        <f t="shared" si="88"/>
        <v>119</v>
      </c>
      <c r="K64" s="109">
        <f t="shared" si="88"/>
        <v>119</v>
      </c>
      <c r="L64" s="109">
        <f t="shared" si="88"/>
        <v>119</v>
      </c>
      <c r="M64" s="109">
        <f t="shared" si="88"/>
        <v>119</v>
      </c>
      <c r="N64" s="109">
        <f t="shared" si="88"/>
        <v>119</v>
      </c>
      <c r="O64" s="109">
        <f t="shared" si="88"/>
        <v>119</v>
      </c>
      <c r="P64" s="109">
        <f>O64</f>
        <v>119</v>
      </c>
      <c r="Q64" s="109">
        <f>P64</f>
        <v>119</v>
      </c>
      <c r="R64" s="109">
        <f t="shared" ref="R64:T64" si="89">Q64</f>
        <v>119</v>
      </c>
      <c r="S64" s="109">
        <f t="shared" si="89"/>
        <v>119</v>
      </c>
      <c r="T64" s="109">
        <f t="shared" si="89"/>
        <v>119</v>
      </c>
    </row>
    <row r="65" spans="1:20" x14ac:dyDescent="0.25">
      <c r="A65" s="52" t="s">
        <v>216</v>
      </c>
      <c r="B65" s="36">
        <f>B63+B64</f>
        <v>2160</v>
      </c>
      <c r="C65" s="36">
        <f t="shared" ref="C65:O65" si="90">C63+C64</f>
        <v>2127.1897829184918</v>
      </c>
      <c r="D65" s="36">
        <f t="shared" si="90"/>
        <v>2058</v>
      </c>
      <c r="E65" s="36">
        <f t="shared" si="90"/>
        <v>2190</v>
      </c>
      <c r="F65" s="36">
        <f t="shared" si="90"/>
        <v>1862.3879667262506</v>
      </c>
      <c r="G65" s="36">
        <f t="shared" si="90"/>
        <v>1843.8214129027319</v>
      </c>
      <c r="H65" s="132">
        <f t="shared" si="90"/>
        <v>1824.9117400147131</v>
      </c>
      <c r="I65" s="132">
        <f t="shared" si="90"/>
        <v>1806.2689375101943</v>
      </c>
      <c r="J65" s="132">
        <f t="shared" si="90"/>
        <v>1787.8548810486757</v>
      </c>
      <c r="K65" s="132">
        <f t="shared" si="90"/>
        <v>1769.5933219491574</v>
      </c>
      <c r="L65" s="132">
        <f t="shared" si="90"/>
        <v>1751.4080115306394</v>
      </c>
      <c r="M65" s="132">
        <f t="shared" si="90"/>
        <v>1733.070203750121</v>
      </c>
      <c r="N65" s="132">
        <f t="shared" si="90"/>
        <v>1714.6561472886024</v>
      </c>
      <c r="O65" s="132">
        <f t="shared" si="90"/>
        <v>1696.1277178055836</v>
      </c>
      <c r="P65" s="132">
        <f>P63+P64</f>
        <v>1677.4086666200649</v>
      </c>
      <c r="Q65" s="132">
        <f>Q63+Q64</f>
        <v>1659.147107520547</v>
      </c>
      <c r="R65" s="132">
        <f t="shared" ref="R65:T65" si="91">R63+R64</f>
        <v>1641.0995388510667</v>
      </c>
      <c r="S65" s="132">
        <f t="shared" si="91"/>
        <v>1623.2634530544165</v>
      </c>
      <c r="T65" s="132">
        <f t="shared" si="91"/>
        <v>1605.6363719571475</v>
      </c>
    </row>
    <row r="66" spans="1:20" x14ac:dyDescent="0.25">
      <c r="A66" s="53" t="s">
        <v>231</v>
      </c>
      <c r="B66" s="38">
        <v>0.25</v>
      </c>
      <c r="C66" s="38">
        <f>B66</f>
        <v>0.25</v>
      </c>
      <c r="D66" s="38">
        <f t="shared" ref="D66:F66" si="92">C66</f>
        <v>0.25</v>
      </c>
      <c r="E66" s="38">
        <f t="shared" si="92"/>
        <v>0.25</v>
      </c>
      <c r="F66" s="38">
        <f t="shared" si="92"/>
        <v>0.25</v>
      </c>
      <c r="G66" s="38">
        <f>F66</f>
        <v>0.25</v>
      </c>
      <c r="H66" s="128">
        <f>G66</f>
        <v>0.25</v>
      </c>
      <c r="I66" s="128">
        <f t="shared" ref="I66:O66" si="93">H66</f>
        <v>0.25</v>
      </c>
      <c r="J66" s="128">
        <f t="shared" si="93"/>
        <v>0.25</v>
      </c>
      <c r="K66" s="128">
        <f t="shared" si="93"/>
        <v>0.25</v>
      </c>
      <c r="L66" s="128">
        <f t="shared" si="93"/>
        <v>0.25</v>
      </c>
      <c r="M66" s="128">
        <f t="shared" si="93"/>
        <v>0.25</v>
      </c>
      <c r="N66" s="128">
        <f t="shared" si="93"/>
        <v>0.25</v>
      </c>
      <c r="O66" s="128">
        <f t="shared" si="93"/>
        <v>0.25</v>
      </c>
      <c r="P66" s="128">
        <f>O66</f>
        <v>0.25</v>
      </c>
      <c r="Q66" s="128">
        <f>P66</f>
        <v>0.25</v>
      </c>
      <c r="R66" s="128">
        <f t="shared" ref="R66:T66" si="94">Q66</f>
        <v>0.25</v>
      </c>
      <c r="S66" s="128">
        <f t="shared" si="94"/>
        <v>0.25</v>
      </c>
      <c r="T66" s="128">
        <f t="shared" si="94"/>
        <v>0.25</v>
      </c>
    </row>
    <row r="67" spans="1:20" x14ac:dyDescent="0.25">
      <c r="A67" s="47" t="s">
        <v>232</v>
      </c>
      <c r="B67" s="25">
        <f>B68-B65</f>
        <v>720</v>
      </c>
      <c r="C67" s="25">
        <f t="shared" ref="C67:O67" si="95">C68-C65</f>
        <v>709.06326097283045</v>
      </c>
      <c r="D67" s="25">
        <f t="shared" si="95"/>
        <v>686</v>
      </c>
      <c r="E67" s="25">
        <f t="shared" si="95"/>
        <v>730</v>
      </c>
      <c r="F67" s="25">
        <f t="shared" si="95"/>
        <v>620.79598890875036</v>
      </c>
      <c r="G67" s="25">
        <f t="shared" si="95"/>
        <v>614.60713763424383</v>
      </c>
      <c r="H67" s="109">
        <f t="shared" si="95"/>
        <v>608.30391333823786</v>
      </c>
      <c r="I67" s="109">
        <f t="shared" si="95"/>
        <v>602.08964583673128</v>
      </c>
      <c r="J67" s="109">
        <f t="shared" si="95"/>
        <v>595.95162701622507</v>
      </c>
      <c r="K67" s="109">
        <f t="shared" si="95"/>
        <v>589.86444064971897</v>
      </c>
      <c r="L67" s="109">
        <f t="shared" si="95"/>
        <v>583.80267051021315</v>
      </c>
      <c r="M67" s="109">
        <f t="shared" si="95"/>
        <v>577.69006791670699</v>
      </c>
      <c r="N67" s="109">
        <f t="shared" si="95"/>
        <v>571.55204909620079</v>
      </c>
      <c r="O67" s="109">
        <f t="shared" si="95"/>
        <v>565.3759059351944</v>
      </c>
      <c r="P67" s="109">
        <f>P68-P65</f>
        <v>559.13622220668844</v>
      </c>
      <c r="Q67" s="109">
        <f>Q68-Q65</f>
        <v>553.04903584018234</v>
      </c>
      <c r="R67" s="109">
        <f t="shared" ref="R67:T67" si="96">R68-R65</f>
        <v>547.03317961702237</v>
      </c>
      <c r="S67" s="109">
        <f t="shared" si="96"/>
        <v>541.08781768480549</v>
      </c>
      <c r="T67" s="109">
        <f t="shared" si="96"/>
        <v>535.21212398571583</v>
      </c>
    </row>
    <row r="68" spans="1:20" x14ac:dyDescent="0.25">
      <c r="A68" s="93" t="s">
        <v>299</v>
      </c>
      <c r="B68" s="33">
        <f>B65/(1-B66)*100/100</f>
        <v>2880</v>
      </c>
      <c r="C68" s="33">
        <f t="shared" ref="C68:O68" si="97">C65/(1-C66)*100/100</f>
        <v>2836.2530438913222</v>
      </c>
      <c r="D68" s="33">
        <f t="shared" si="97"/>
        <v>2744</v>
      </c>
      <c r="E68" s="33">
        <f t="shared" si="97"/>
        <v>2920</v>
      </c>
      <c r="F68" s="33">
        <f t="shared" si="97"/>
        <v>2483.183955635001</v>
      </c>
      <c r="G68" s="33">
        <f t="shared" si="97"/>
        <v>2458.4285505369758</v>
      </c>
      <c r="H68" s="114">
        <f t="shared" si="97"/>
        <v>2433.215653352951</v>
      </c>
      <c r="I68" s="114">
        <f t="shared" si="97"/>
        <v>2408.3585833469256</v>
      </c>
      <c r="J68" s="114">
        <f t="shared" si="97"/>
        <v>2383.8065080649008</v>
      </c>
      <c r="K68" s="114">
        <f t="shared" si="97"/>
        <v>2359.4577625988763</v>
      </c>
      <c r="L68" s="114">
        <f t="shared" si="97"/>
        <v>2335.2106820408526</v>
      </c>
      <c r="M68" s="114">
        <f t="shared" si="97"/>
        <v>2310.760271666828</v>
      </c>
      <c r="N68" s="114">
        <f t="shared" si="97"/>
        <v>2286.2081963848032</v>
      </c>
      <c r="O68" s="114">
        <f t="shared" si="97"/>
        <v>2261.503623740778</v>
      </c>
      <c r="P68" s="114">
        <f>P65/(1-P66)*100/100</f>
        <v>2236.5448888267533</v>
      </c>
      <c r="Q68" s="114">
        <f>Q65/(1-Q66)*100/100</f>
        <v>2212.1961433607294</v>
      </c>
      <c r="R68" s="114">
        <f t="shared" ref="R68:T68" si="98">R65/(1-R66)*100/100</f>
        <v>2188.132718468089</v>
      </c>
      <c r="S68" s="114">
        <f t="shared" si="98"/>
        <v>2164.3512707392219</v>
      </c>
      <c r="T68" s="114">
        <f t="shared" si="98"/>
        <v>2140.8484959428633</v>
      </c>
    </row>
    <row r="69" spans="1:20" x14ac:dyDescent="0.25">
      <c r="A69" s="48" t="s">
        <v>188</v>
      </c>
      <c r="B69" s="36">
        <f>'Majapidamiste nõudlus asulates'!D149</f>
        <v>730</v>
      </c>
      <c r="C69" s="36">
        <f>'Majapidamiste nõudlus asulates'!E149</f>
        <v>709.53372159460002</v>
      </c>
      <c r="D69" s="36">
        <f>'Majapidamiste nõudlus asulates'!F149</f>
        <v>844</v>
      </c>
      <c r="E69" s="36">
        <f>'Majapidamiste nõudlus asulates'!G149</f>
        <v>762</v>
      </c>
      <c r="F69" s="36">
        <f>'Majapidamiste nõudlus asulates'!H149</f>
        <v>710.56165649746822</v>
      </c>
      <c r="G69" s="36">
        <f>'Majapidamiste nõudlus asulates'!I149</f>
        <v>702.99439006447687</v>
      </c>
      <c r="H69" s="132">
        <f>'Majapidamiste nõudlus asulates'!J149</f>
        <v>695.28727681855537</v>
      </c>
      <c r="I69" s="132">
        <f>'Majapidamiste nõudlus asulates'!K149</f>
        <v>687.68893331602385</v>
      </c>
      <c r="J69" s="132">
        <f>'Majapidamiste nõudlus asulates'!L149</f>
        <v>680.1838210221124</v>
      </c>
      <c r="K69" s="132">
        <f>'Majapidamiste nõudlus asulates'!M149</f>
        <v>672.74086286728084</v>
      </c>
      <c r="L69" s="132">
        <f>'Majapidamiste nõudlus asulates'!N149</f>
        <v>665.32898178198957</v>
      </c>
      <c r="M69" s="132">
        <f>'Majapidamiste nõudlus asulates'!O149</f>
        <v>657.85494655761806</v>
      </c>
      <c r="N69" s="132">
        <f>'Majapidamiste nõudlus asulates'!P149</f>
        <v>650.3498342637065</v>
      </c>
      <c r="O69" s="132">
        <f>'Majapidamiste nõudlus asulates'!Q149</f>
        <v>642.79810636548518</v>
      </c>
      <c r="P69" s="132">
        <f>'Majapidamiste nõudlus asulates'!R149</f>
        <v>635.16868579341383</v>
      </c>
      <c r="Q69" s="132">
        <f>'Majapidamiste nõudlus asulates'!S149</f>
        <v>627.72572763858216</v>
      </c>
      <c r="R69" s="132">
        <f>'Majapidamiste nõudlus asulates'!T149</f>
        <v>620.36998667082844</v>
      </c>
      <c r="S69" s="132">
        <f>'Majapidamiste nõudlus asulates'!U149</f>
        <v>613.10044087208269</v>
      </c>
      <c r="T69" s="132">
        <f>'Majapidamiste nõudlus asulates'!V149</f>
        <v>605.91608020036699</v>
      </c>
    </row>
    <row r="70" spans="1:20" x14ac:dyDescent="0.25">
      <c r="A70" s="48" t="s">
        <v>189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</row>
    <row r="71" spans="1:20" x14ac:dyDescent="0.25">
      <c r="A71" s="52" t="s">
        <v>217</v>
      </c>
      <c r="B71" s="36">
        <f>B69+B70</f>
        <v>730</v>
      </c>
      <c r="C71" s="36">
        <f t="shared" ref="C71:O71" si="99">C69+C70</f>
        <v>709.53372159460002</v>
      </c>
      <c r="D71" s="36">
        <f t="shared" si="99"/>
        <v>844</v>
      </c>
      <c r="E71" s="36">
        <f t="shared" si="99"/>
        <v>762</v>
      </c>
      <c r="F71" s="36">
        <f t="shared" si="99"/>
        <v>710.56165649746822</v>
      </c>
      <c r="G71" s="36">
        <f t="shared" si="99"/>
        <v>702.99439006447687</v>
      </c>
      <c r="H71" s="132">
        <f t="shared" si="99"/>
        <v>695.28727681855537</v>
      </c>
      <c r="I71" s="132">
        <f t="shared" si="99"/>
        <v>687.68893331602385</v>
      </c>
      <c r="J71" s="132">
        <f t="shared" si="99"/>
        <v>680.1838210221124</v>
      </c>
      <c r="K71" s="132">
        <f t="shared" si="99"/>
        <v>672.74086286728084</v>
      </c>
      <c r="L71" s="132">
        <f t="shared" si="99"/>
        <v>665.32898178198957</v>
      </c>
      <c r="M71" s="132">
        <f t="shared" si="99"/>
        <v>657.85494655761806</v>
      </c>
      <c r="N71" s="132">
        <f t="shared" si="99"/>
        <v>650.3498342637065</v>
      </c>
      <c r="O71" s="132">
        <f t="shared" si="99"/>
        <v>642.79810636548518</v>
      </c>
      <c r="P71" s="132">
        <f>P69+P70</f>
        <v>635.16868579341383</v>
      </c>
      <c r="Q71" s="132">
        <f>Q69+Q70</f>
        <v>627.72572763858216</v>
      </c>
      <c r="R71" s="132">
        <f t="shared" ref="R71:T71" si="100">R69+R70</f>
        <v>620.36998667082844</v>
      </c>
      <c r="S71" s="132">
        <f t="shared" si="100"/>
        <v>613.10044087208269</v>
      </c>
      <c r="T71" s="132">
        <f t="shared" si="100"/>
        <v>605.91608020036699</v>
      </c>
    </row>
    <row r="72" spans="1:20" x14ac:dyDescent="0.25">
      <c r="A72" s="21" t="s">
        <v>231</v>
      </c>
      <c r="B72" s="38">
        <v>0.3</v>
      </c>
      <c r="C72" s="38">
        <v>0.3</v>
      </c>
      <c r="D72" s="38">
        <v>0.3</v>
      </c>
      <c r="E72" s="38">
        <v>0.3</v>
      </c>
      <c r="F72" s="38">
        <v>0.3</v>
      </c>
      <c r="G72" s="38">
        <v>0.3</v>
      </c>
      <c r="H72" s="128">
        <v>0.3</v>
      </c>
      <c r="I72" s="128">
        <v>0.3</v>
      </c>
      <c r="J72" s="128">
        <v>0.3</v>
      </c>
      <c r="K72" s="128">
        <v>0.3</v>
      </c>
      <c r="L72" s="128">
        <v>0.3</v>
      </c>
      <c r="M72" s="128">
        <v>0.3</v>
      </c>
      <c r="N72" s="128">
        <v>0.3</v>
      </c>
      <c r="O72" s="128">
        <v>0.3</v>
      </c>
      <c r="P72" s="128">
        <v>0.3</v>
      </c>
      <c r="Q72" s="128">
        <v>0.3</v>
      </c>
      <c r="R72" s="128">
        <v>0.3</v>
      </c>
      <c r="S72" s="128">
        <v>0.3</v>
      </c>
      <c r="T72" s="128">
        <v>0.3</v>
      </c>
    </row>
    <row r="73" spans="1:20" x14ac:dyDescent="0.25">
      <c r="A73" s="47" t="s">
        <v>232</v>
      </c>
      <c r="B73" s="25">
        <f>B74-B71</f>
        <v>312.85714285714289</v>
      </c>
      <c r="C73" s="25">
        <f t="shared" ref="C73:O73" si="101">C74-C71</f>
        <v>304.08588068340009</v>
      </c>
      <c r="D73" s="25">
        <f t="shared" si="101"/>
        <v>361.71428571428578</v>
      </c>
      <c r="E73" s="25">
        <f t="shared" si="101"/>
        <v>326.57142857142867</v>
      </c>
      <c r="F73" s="25">
        <f t="shared" si="101"/>
        <v>304.5264242132007</v>
      </c>
      <c r="G73" s="25">
        <f t="shared" si="101"/>
        <v>301.28331002763298</v>
      </c>
      <c r="H73" s="109">
        <f t="shared" si="101"/>
        <v>297.9802614936666</v>
      </c>
      <c r="I73" s="109">
        <f t="shared" si="101"/>
        <v>294.72382856401043</v>
      </c>
      <c r="J73" s="109">
        <f t="shared" si="101"/>
        <v>291.50735186661962</v>
      </c>
      <c r="K73" s="109">
        <f t="shared" si="101"/>
        <v>288.31751265740616</v>
      </c>
      <c r="L73" s="109">
        <f t="shared" si="101"/>
        <v>285.14099219228126</v>
      </c>
      <c r="M73" s="109">
        <f t="shared" si="101"/>
        <v>281.93783423897935</v>
      </c>
      <c r="N73" s="109">
        <f t="shared" si="101"/>
        <v>278.72135754158865</v>
      </c>
      <c r="O73" s="109">
        <f t="shared" si="101"/>
        <v>275.48490272806498</v>
      </c>
      <c r="P73" s="109">
        <f>P74-P71</f>
        <v>272.21515105432024</v>
      </c>
      <c r="Q73" s="109">
        <f>Q74-Q71</f>
        <v>269.02531184510667</v>
      </c>
      <c r="R73" s="109">
        <f t="shared" ref="R73:T73" si="102">R74-R71</f>
        <v>265.87285143035513</v>
      </c>
      <c r="S73" s="109">
        <f t="shared" si="102"/>
        <v>262.75733180232123</v>
      </c>
      <c r="T73" s="109">
        <f t="shared" si="102"/>
        <v>259.67832008587163</v>
      </c>
    </row>
    <row r="74" spans="1:20" x14ac:dyDescent="0.25">
      <c r="A74" s="93" t="s">
        <v>300</v>
      </c>
      <c r="B74" s="33">
        <f>B71/(1-B72)*100/100</f>
        <v>1042.8571428571429</v>
      </c>
      <c r="C74" s="33">
        <f t="shared" ref="C74:O74" si="103">C71/(1-C72)*100/100</f>
        <v>1013.6196022780001</v>
      </c>
      <c r="D74" s="33">
        <f t="shared" si="103"/>
        <v>1205.7142857142858</v>
      </c>
      <c r="E74" s="33">
        <f t="shared" si="103"/>
        <v>1088.5714285714287</v>
      </c>
      <c r="F74" s="33">
        <f t="shared" si="103"/>
        <v>1015.0880807106689</v>
      </c>
      <c r="G74" s="33">
        <f t="shared" si="103"/>
        <v>1004.2777000921099</v>
      </c>
      <c r="H74" s="114">
        <f t="shared" si="103"/>
        <v>993.26753831222197</v>
      </c>
      <c r="I74" s="114">
        <f t="shared" si="103"/>
        <v>982.41276188003428</v>
      </c>
      <c r="J74" s="114">
        <f t="shared" si="103"/>
        <v>971.69117288873201</v>
      </c>
      <c r="K74" s="114">
        <f t="shared" si="103"/>
        <v>961.05837552468699</v>
      </c>
      <c r="L74" s="114">
        <f t="shared" si="103"/>
        <v>950.46997397427083</v>
      </c>
      <c r="M74" s="114">
        <f t="shared" si="103"/>
        <v>939.79278079659741</v>
      </c>
      <c r="N74" s="114">
        <f t="shared" si="103"/>
        <v>929.07119180529514</v>
      </c>
      <c r="O74" s="114">
        <f t="shared" si="103"/>
        <v>918.28300909355016</v>
      </c>
      <c r="P74" s="114">
        <f>P71/(1-P72)*100/100</f>
        <v>907.38383684773407</v>
      </c>
      <c r="Q74" s="114">
        <f>Q71/(1-Q72)*100/100</f>
        <v>896.75103948368883</v>
      </c>
      <c r="R74" s="114">
        <f t="shared" ref="R74:T74" si="104">R71/(1-R72)*100/100</f>
        <v>886.24283810118357</v>
      </c>
      <c r="S74" s="114">
        <f t="shared" si="104"/>
        <v>875.85777267440392</v>
      </c>
      <c r="T74" s="114">
        <f t="shared" si="104"/>
        <v>865.59440028623862</v>
      </c>
    </row>
    <row r="75" spans="1:20" x14ac:dyDescent="0.25">
      <c r="A75" s="65" t="s">
        <v>246</v>
      </c>
      <c r="B75" s="21">
        <v>0</v>
      </c>
      <c r="C75" s="36">
        <f>'Majapidamiste nõudlus asulates'!E150</f>
        <v>1486</v>
      </c>
      <c r="D75" s="36">
        <f>'Majapidamiste nõudlus asulates'!F150</f>
        <v>3640</v>
      </c>
      <c r="E75" s="36">
        <f>'Majapidamiste nõudlus asulates'!G150</f>
        <v>3349</v>
      </c>
      <c r="F75" s="36">
        <f>'Majapidamiste nõudlus asulates'!H150</f>
        <v>3494.5</v>
      </c>
      <c r="G75" s="36">
        <f>'Majapidamiste nõudlus asulates'!I150</f>
        <v>3457.2846333836296</v>
      </c>
      <c r="H75" s="132">
        <f>'Majapidamiste nõudlus asulates'!J150</f>
        <v>3419.381508451967</v>
      </c>
      <c r="I75" s="132">
        <f>'Majapidamiste nõudlus asulates'!K150</f>
        <v>3382.0133066544208</v>
      </c>
      <c r="J75" s="132">
        <f>'Majapidamiste nõudlus asulates'!L150</f>
        <v>3345.1036104004029</v>
      </c>
      <c r="K75" s="132">
        <f>'Majapidamiste nõudlus asulates'!M150</f>
        <v>3308.4995845087369</v>
      </c>
      <c r="L75" s="132">
        <f>'Majapidamiste nõudlus asulates'!N150</f>
        <v>3272.0483937982467</v>
      </c>
      <c r="M75" s="132">
        <f>'Majapidamiste nõudlus asulates'!O150</f>
        <v>3235.2915327254041</v>
      </c>
      <c r="N75" s="132">
        <f>'Majapidamiste nõudlus asulates'!P150</f>
        <v>3198.3818364713861</v>
      </c>
      <c r="O75" s="132">
        <f>'Majapidamiste nõudlus asulates'!Q150</f>
        <v>3161.2428874456032</v>
      </c>
      <c r="P75" s="132">
        <f>'Majapidamiste nõudlus asulates'!R150</f>
        <v>3123.7218504668808</v>
      </c>
      <c r="Q75" s="132">
        <f>'Majapidamiste nõudlus asulates'!S150</f>
        <v>3087.1178245752149</v>
      </c>
      <c r="R75" s="132">
        <f>'Majapidamiste nõudlus asulates'!T150</f>
        <v>3050.9427276265269</v>
      </c>
      <c r="S75" s="132">
        <f>'Majapidamiste nõudlus asulates'!U150</f>
        <v>3015.1915333966886</v>
      </c>
      <c r="T75" s="132">
        <f>'Majapidamiste nõudlus asulates'!V150</f>
        <v>2979.8592745592737</v>
      </c>
    </row>
    <row r="76" spans="1:20" x14ac:dyDescent="0.25">
      <c r="A76" s="48" t="s">
        <v>190</v>
      </c>
      <c r="B76" s="21">
        <v>0</v>
      </c>
      <c r="C76" s="21"/>
      <c r="D76" s="21">
        <v>222</v>
      </c>
      <c r="E76" s="21">
        <v>0</v>
      </c>
      <c r="F76" s="21">
        <v>0</v>
      </c>
      <c r="G76" s="21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</row>
    <row r="77" spans="1:20" x14ac:dyDescent="0.25">
      <c r="A77" s="52" t="s">
        <v>218</v>
      </c>
      <c r="B77" s="21">
        <v>0</v>
      </c>
      <c r="C77" s="21">
        <f>C75+C76</f>
        <v>1486</v>
      </c>
      <c r="D77" s="25">
        <f>D75+D76</f>
        <v>3862</v>
      </c>
      <c r="E77" s="25">
        <f t="shared" ref="E77:O77" si="105">E75+E76</f>
        <v>3349</v>
      </c>
      <c r="F77" s="25">
        <f t="shared" si="105"/>
        <v>3494.5</v>
      </c>
      <c r="G77" s="25">
        <f t="shared" si="105"/>
        <v>3457.2846333836296</v>
      </c>
      <c r="H77" s="109">
        <f t="shared" si="105"/>
        <v>3419.381508451967</v>
      </c>
      <c r="I77" s="109">
        <f t="shared" si="105"/>
        <v>3382.0133066544208</v>
      </c>
      <c r="J77" s="109">
        <f t="shared" si="105"/>
        <v>3345.1036104004029</v>
      </c>
      <c r="K77" s="109">
        <f t="shared" si="105"/>
        <v>3308.4995845087369</v>
      </c>
      <c r="L77" s="109">
        <f t="shared" si="105"/>
        <v>3272.0483937982467</v>
      </c>
      <c r="M77" s="109">
        <f t="shared" si="105"/>
        <v>3235.2915327254041</v>
      </c>
      <c r="N77" s="109">
        <f t="shared" si="105"/>
        <v>3198.3818364713861</v>
      </c>
      <c r="O77" s="109">
        <f t="shared" si="105"/>
        <v>3161.2428874456032</v>
      </c>
      <c r="P77" s="109">
        <f>P75+P76</f>
        <v>3123.7218504668808</v>
      </c>
      <c r="Q77" s="109">
        <f>Q75+Q76</f>
        <v>3087.1178245752149</v>
      </c>
      <c r="R77" s="109">
        <f t="shared" ref="R77:T77" si="106">R75+R76</f>
        <v>3050.9427276265269</v>
      </c>
      <c r="S77" s="109">
        <f t="shared" si="106"/>
        <v>3015.1915333966886</v>
      </c>
      <c r="T77" s="109">
        <f t="shared" si="106"/>
        <v>2979.8592745592737</v>
      </c>
    </row>
    <row r="78" spans="1:20" x14ac:dyDescent="0.25">
      <c r="A78" s="53" t="s">
        <v>231</v>
      </c>
      <c r="B78" s="38">
        <v>0.3</v>
      </c>
      <c r="C78" s="38">
        <v>0.3</v>
      </c>
      <c r="D78" s="38">
        <v>0.3</v>
      </c>
      <c r="E78" s="38">
        <v>0.3</v>
      </c>
      <c r="F78" s="38">
        <v>0.3</v>
      </c>
      <c r="G78" s="38">
        <f>F78</f>
        <v>0.3</v>
      </c>
      <c r="H78" s="128">
        <f>G78</f>
        <v>0.3</v>
      </c>
      <c r="I78" s="128">
        <f t="shared" ref="I78:O78" si="107">H78</f>
        <v>0.3</v>
      </c>
      <c r="J78" s="128">
        <f t="shared" si="107"/>
        <v>0.3</v>
      </c>
      <c r="K78" s="128">
        <f t="shared" si="107"/>
        <v>0.3</v>
      </c>
      <c r="L78" s="128">
        <f t="shared" si="107"/>
        <v>0.3</v>
      </c>
      <c r="M78" s="128">
        <f t="shared" si="107"/>
        <v>0.3</v>
      </c>
      <c r="N78" s="128">
        <f t="shared" si="107"/>
        <v>0.3</v>
      </c>
      <c r="O78" s="128">
        <f t="shared" si="107"/>
        <v>0.3</v>
      </c>
      <c r="P78" s="128">
        <f>O78</f>
        <v>0.3</v>
      </c>
      <c r="Q78" s="128">
        <f>P78</f>
        <v>0.3</v>
      </c>
      <c r="R78" s="128">
        <f t="shared" ref="R78:T78" si="108">Q78</f>
        <v>0.3</v>
      </c>
      <c r="S78" s="128">
        <f t="shared" si="108"/>
        <v>0.3</v>
      </c>
      <c r="T78" s="128">
        <f t="shared" si="108"/>
        <v>0.3</v>
      </c>
    </row>
    <row r="79" spans="1:20" x14ac:dyDescent="0.25">
      <c r="A79" s="47" t="s">
        <v>232</v>
      </c>
      <c r="B79" s="21">
        <v>0</v>
      </c>
      <c r="C79" s="25">
        <f t="shared" ref="C79:O79" si="109">C80-C77</f>
        <v>636.85714285714312</v>
      </c>
      <c r="D79" s="25">
        <f t="shared" si="109"/>
        <v>1655.1428571428578</v>
      </c>
      <c r="E79" s="25">
        <f t="shared" si="109"/>
        <v>1435.2857142857147</v>
      </c>
      <c r="F79" s="25">
        <f t="shared" si="109"/>
        <v>1497.6428571428578</v>
      </c>
      <c r="G79" s="25">
        <f t="shared" si="109"/>
        <v>1481.6934143072704</v>
      </c>
      <c r="H79" s="109">
        <f t="shared" si="109"/>
        <v>1465.4492179079857</v>
      </c>
      <c r="I79" s="109">
        <f t="shared" si="109"/>
        <v>1449.4342742804661</v>
      </c>
      <c r="J79" s="109">
        <f t="shared" si="109"/>
        <v>1433.615833028744</v>
      </c>
      <c r="K79" s="109">
        <f t="shared" si="109"/>
        <v>1417.9283933608876</v>
      </c>
      <c r="L79" s="109">
        <f t="shared" si="109"/>
        <v>1402.3064544849635</v>
      </c>
      <c r="M79" s="109">
        <f t="shared" si="109"/>
        <v>1386.5535140251732</v>
      </c>
      <c r="N79" s="109">
        <f t="shared" si="109"/>
        <v>1370.7350727734511</v>
      </c>
      <c r="O79" s="109">
        <f t="shared" si="109"/>
        <v>1354.8183803338302</v>
      </c>
      <c r="P79" s="109">
        <f>P80-P77</f>
        <v>1338.7379359143779</v>
      </c>
      <c r="Q79" s="109">
        <f>Q80-Q77</f>
        <v>1323.0504962465207</v>
      </c>
      <c r="R79" s="109">
        <f t="shared" ref="R79:T79" si="110">R80-R77</f>
        <v>1307.5468832685119</v>
      </c>
      <c r="S79" s="109">
        <f t="shared" si="110"/>
        <v>1292.2249428842956</v>
      </c>
      <c r="T79" s="109">
        <f t="shared" si="110"/>
        <v>1277.0825462396892</v>
      </c>
    </row>
    <row r="80" spans="1:20" x14ac:dyDescent="0.25">
      <c r="A80" s="93" t="s">
        <v>301</v>
      </c>
      <c r="B80" s="26">
        <v>0</v>
      </c>
      <c r="C80" s="33">
        <f t="shared" ref="C80:O80" si="111">C77/(1-C78)*100/100</f>
        <v>2122.8571428571431</v>
      </c>
      <c r="D80" s="33">
        <f t="shared" si="111"/>
        <v>5517.1428571428578</v>
      </c>
      <c r="E80" s="33">
        <f t="shared" si="111"/>
        <v>4784.2857142857147</v>
      </c>
      <c r="F80" s="33">
        <f t="shared" si="111"/>
        <v>4992.1428571428578</v>
      </c>
      <c r="G80" s="33">
        <f t="shared" si="111"/>
        <v>4938.9780476909</v>
      </c>
      <c r="H80" s="114">
        <f t="shared" si="111"/>
        <v>4884.8307263599527</v>
      </c>
      <c r="I80" s="114">
        <f t="shared" si="111"/>
        <v>4831.4475809348869</v>
      </c>
      <c r="J80" s="114">
        <f t="shared" si="111"/>
        <v>4778.7194434291468</v>
      </c>
      <c r="K80" s="114">
        <f t="shared" si="111"/>
        <v>4726.4279778696246</v>
      </c>
      <c r="L80" s="114">
        <f t="shared" si="111"/>
        <v>4674.3548482832102</v>
      </c>
      <c r="M80" s="114">
        <f t="shared" si="111"/>
        <v>4621.8450467505772</v>
      </c>
      <c r="N80" s="114">
        <f t="shared" si="111"/>
        <v>4569.1169092448372</v>
      </c>
      <c r="O80" s="114">
        <f t="shared" si="111"/>
        <v>4516.0612677794334</v>
      </c>
      <c r="P80" s="114">
        <f>P77/(1-P78)*100/100</f>
        <v>4462.4597863812587</v>
      </c>
      <c r="Q80" s="114">
        <f>Q77/(1-Q78)*100/100</f>
        <v>4410.1683208217355</v>
      </c>
      <c r="R80" s="114">
        <f t="shared" ref="R80:T80" si="112">R77/(1-R78)*100/100</f>
        <v>4358.4896108950388</v>
      </c>
      <c r="S80" s="114">
        <f t="shared" si="112"/>
        <v>4307.4164762809842</v>
      </c>
      <c r="T80" s="114">
        <f t="shared" si="112"/>
        <v>4256.9418207989629</v>
      </c>
    </row>
    <row r="81" spans="1:20" x14ac:dyDescent="0.25">
      <c r="A81" s="48" t="s">
        <v>192</v>
      </c>
      <c r="B81" s="21">
        <v>3400</v>
      </c>
      <c r="C81" s="36">
        <f>'Majapidamiste nõudlus asulates'!E151</f>
        <v>6390</v>
      </c>
      <c r="D81" s="36">
        <f>'Majapidamiste nõudlus asulates'!F151</f>
        <v>4879</v>
      </c>
      <c r="E81" s="36">
        <f>'Majapidamiste nõudlus asulates'!G151</f>
        <v>4849</v>
      </c>
      <c r="F81" s="36">
        <f>'Majapidamiste nõudlus asulates'!H151</f>
        <v>5145.8191929285949</v>
      </c>
      <c r="G81" s="36">
        <f>'Majapidamiste nõudlus asulates'!I151</f>
        <v>5091.0177770446644</v>
      </c>
      <c r="H81" s="132">
        <f>'Majapidamiste nõudlus asulates'!J151</f>
        <v>5035.2036039883424</v>
      </c>
      <c r="I81" s="132">
        <f>'Majapidamiste nõudlus asulates'!K151</f>
        <v>4980.1771309549922</v>
      </c>
      <c r="J81" s="132">
        <f>'Majapidamiste nõudlus asulates'!L151</f>
        <v>4925.8258293699046</v>
      </c>
      <c r="K81" s="132">
        <f>'Majapidamiste nõudlus asulates'!M151</f>
        <v>4871.9246420836571</v>
      </c>
      <c r="L81" s="132">
        <f>'Majapidamiste nõudlus asulates'!N151</f>
        <v>4818.2485119468301</v>
      </c>
      <c r="M81" s="132">
        <f>'Majapidamiste nõudlus asulates'!O151</f>
        <v>4764.1222675111621</v>
      </c>
      <c r="N81" s="132">
        <f>'Majapidamiste nõudlus asulates'!P151</f>
        <v>4709.7709659260736</v>
      </c>
      <c r="O81" s="132">
        <f>'Majapidamiste nõudlus asulates'!Q151</f>
        <v>4655.0820786168542</v>
      </c>
      <c r="P81" s="132">
        <f>'Majapidamiste nõudlus asulates'!R151</f>
        <v>4599.8305484340835</v>
      </c>
      <c r="Q81" s="132">
        <f>'Majapidamiste nõudlus asulates'!S151</f>
        <v>4545.9293611478361</v>
      </c>
      <c r="R81" s="132">
        <f>'Majapidamiste nõudlus asulates'!T151</f>
        <v>4492.6597923441122</v>
      </c>
      <c r="S81" s="132">
        <f>'Majapidamiste nõudlus asulates'!U151</f>
        <v>4440.0144406663276</v>
      </c>
      <c r="T81" s="132">
        <f>'Majapidamiste nõudlus asulates'!V151</f>
        <v>4387.9859914875915</v>
      </c>
    </row>
    <row r="82" spans="1:20" x14ac:dyDescent="0.25">
      <c r="A82" s="48" t="s">
        <v>193</v>
      </c>
      <c r="B82" s="21">
        <v>0</v>
      </c>
      <c r="C82" s="21">
        <v>15240</v>
      </c>
      <c r="D82" s="21">
        <v>15863</v>
      </c>
      <c r="E82" s="21">
        <v>15339</v>
      </c>
      <c r="F82" s="21">
        <f>(D82+E82)/2</f>
        <v>15601</v>
      </c>
      <c r="G82" s="21">
        <f>F82</f>
        <v>15601</v>
      </c>
      <c r="H82" s="23">
        <f t="shared" ref="H82:Q82" si="113">G82</f>
        <v>15601</v>
      </c>
      <c r="I82" s="23">
        <f t="shared" si="113"/>
        <v>15601</v>
      </c>
      <c r="J82" s="23">
        <f t="shared" si="113"/>
        <v>15601</v>
      </c>
      <c r="K82" s="23">
        <f t="shared" si="113"/>
        <v>15601</v>
      </c>
      <c r="L82" s="23">
        <f t="shared" si="113"/>
        <v>15601</v>
      </c>
      <c r="M82" s="23">
        <f t="shared" si="113"/>
        <v>15601</v>
      </c>
      <c r="N82" s="23">
        <f t="shared" si="113"/>
        <v>15601</v>
      </c>
      <c r="O82" s="23">
        <f t="shared" si="113"/>
        <v>15601</v>
      </c>
      <c r="P82" s="23">
        <f t="shared" si="113"/>
        <v>15601</v>
      </c>
      <c r="Q82" s="23">
        <f t="shared" si="113"/>
        <v>15601</v>
      </c>
      <c r="R82" s="23">
        <f t="shared" ref="R82" si="114">Q82</f>
        <v>15601</v>
      </c>
      <c r="S82" s="23">
        <f t="shared" ref="S82" si="115">R82</f>
        <v>15601</v>
      </c>
      <c r="T82" s="23">
        <f t="shared" ref="T82" si="116">S82</f>
        <v>15601</v>
      </c>
    </row>
    <row r="83" spans="1:20" x14ac:dyDescent="0.25">
      <c r="A83" s="52" t="s">
        <v>219</v>
      </c>
      <c r="B83" s="21">
        <f>B81+B82</f>
        <v>3400</v>
      </c>
      <c r="C83" s="21">
        <f t="shared" ref="C83:O83" si="117">C81+C82</f>
        <v>21630</v>
      </c>
      <c r="D83" s="25">
        <f t="shared" si="117"/>
        <v>20742</v>
      </c>
      <c r="E83" s="25">
        <f t="shared" si="117"/>
        <v>20188</v>
      </c>
      <c r="F83" s="25">
        <f t="shared" si="117"/>
        <v>20746.819192928597</v>
      </c>
      <c r="G83" s="25">
        <f t="shared" si="117"/>
        <v>20692.017777044664</v>
      </c>
      <c r="H83" s="109">
        <f t="shared" si="117"/>
        <v>20636.203603988342</v>
      </c>
      <c r="I83" s="109">
        <f t="shared" si="117"/>
        <v>20581.177130954991</v>
      </c>
      <c r="J83" s="109">
        <f t="shared" si="117"/>
        <v>20526.825829369904</v>
      </c>
      <c r="K83" s="109">
        <f t="shared" si="117"/>
        <v>20472.924642083657</v>
      </c>
      <c r="L83" s="109">
        <f t="shared" si="117"/>
        <v>20419.248511946829</v>
      </c>
      <c r="M83" s="109">
        <f t="shared" si="117"/>
        <v>20365.122267511164</v>
      </c>
      <c r="N83" s="109">
        <f t="shared" si="117"/>
        <v>20310.770965926073</v>
      </c>
      <c r="O83" s="109">
        <f t="shared" si="117"/>
        <v>20256.082078616855</v>
      </c>
      <c r="P83" s="109">
        <f>P81+P82</f>
        <v>20200.830548434082</v>
      </c>
      <c r="Q83" s="109">
        <f>Q81+Q82</f>
        <v>20146.929361147835</v>
      </c>
      <c r="R83" s="109">
        <f t="shared" ref="R83:T83" si="118">R81+R82</f>
        <v>20093.659792344111</v>
      </c>
      <c r="S83" s="109">
        <f t="shared" si="118"/>
        <v>20041.014440666328</v>
      </c>
      <c r="T83" s="109">
        <f t="shared" si="118"/>
        <v>19988.985991487592</v>
      </c>
    </row>
    <row r="84" spans="1:20" x14ac:dyDescent="0.25">
      <c r="A84" s="21" t="s">
        <v>231</v>
      </c>
      <c r="B84" s="37">
        <v>0.05</v>
      </c>
      <c r="C84" s="38">
        <v>0.05</v>
      </c>
      <c r="D84" s="38">
        <v>0.05</v>
      </c>
      <c r="E84" s="38">
        <v>0.05</v>
      </c>
      <c r="F84" s="38">
        <v>0.05</v>
      </c>
      <c r="G84" s="38">
        <v>0.05</v>
      </c>
      <c r="H84" s="128">
        <v>0.05</v>
      </c>
      <c r="I84" s="128">
        <v>0.05</v>
      </c>
      <c r="J84" s="128">
        <v>0.05</v>
      </c>
      <c r="K84" s="128">
        <v>0.05</v>
      </c>
      <c r="L84" s="128">
        <v>0.05</v>
      </c>
      <c r="M84" s="128">
        <v>0.05</v>
      </c>
      <c r="N84" s="128">
        <v>0.05</v>
      </c>
      <c r="O84" s="128">
        <v>0.05</v>
      </c>
      <c r="P84" s="128">
        <v>0.05</v>
      </c>
      <c r="Q84" s="128">
        <v>0.05</v>
      </c>
      <c r="R84" s="128">
        <v>0.05</v>
      </c>
      <c r="S84" s="128">
        <v>0.05</v>
      </c>
      <c r="T84" s="128">
        <v>0.05</v>
      </c>
    </row>
    <row r="85" spans="1:20" x14ac:dyDescent="0.25">
      <c r="A85" s="47" t="s">
        <v>232</v>
      </c>
      <c r="B85" s="25">
        <f>B86-B83</f>
        <v>178.94736842105294</v>
      </c>
      <c r="C85" s="25">
        <f t="shared" ref="C85:O85" si="119">C86-C83</f>
        <v>1138.4210526315837</v>
      </c>
      <c r="D85" s="25">
        <f t="shared" si="119"/>
        <v>1091.6842105263131</v>
      </c>
      <c r="E85" s="25">
        <f t="shared" si="119"/>
        <v>1062.5263157894733</v>
      </c>
      <c r="F85" s="25">
        <f t="shared" si="119"/>
        <v>1091.9378522594016</v>
      </c>
      <c r="G85" s="25">
        <f t="shared" si="119"/>
        <v>1089.053567212879</v>
      </c>
      <c r="H85" s="109">
        <f t="shared" si="119"/>
        <v>1086.1159791572827</v>
      </c>
      <c r="I85" s="109">
        <f t="shared" si="119"/>
        <v>1083.2198489976327</v>
      </c>
      <c r="J85" s="109">
        <f t="shared" si="119"/>
        <v>1080.3592541773651</v>
      </c>
      <c r="K85" s="109">
        <f t="shared" si="119"/>
        <v>1077.5223495833561</v>
      </c>
      <c r="L85" s="109">
        <f t="shared" si="119"/>
        <v>1074.6972901024674</v>
      </c>
      <c r="M85" s="109">
        <f t="shared" si="119"/>
        <v>1071.8485403953237</v>
      </c>
      <c r="N85" s="109">
        <f t="shared" si="119"/>
        <v>1068.9879455750561</v>
      </c>
      <c r="O85" s="109">
        <f t="shared" si="119"/>
        <v>1066.1095830850973</v>
      </c>
      <c r="P85" s="109">
        <f>P86-P83</f>
        <v>1063.2016078123197</v>
      </c>
      <c r="Q85" s="109">
        <f>Q86-Q83</f>
        <v>1060.3647032183071</v>
      </c>
      <c r="R85" s="109">
        <f t="shared" ref="R85:T85" si="120">R86-R83</f>
        <v>1057.5610417023236</v>
      </c>
      <c r="S85" s="109">
        <f t="shared" si="120"/>
        <v>1054.7902337192827</v>
      </c>
      <c r="T85" s="109">
        <f t="shared" si="120"/>
        <v>1052.051894288823</v>
      </c>
    </row>
    <row r="86" spans="1:20" x14ac:dyDescent="0.25">
      <c r="A86" s="93" t="s">
        <v>302</v>
      </c>
      <c r="B86" s="33">
        <f>B83/(1-B84)*100/100</f>
        <v>3578.9473684210529</v>
      </c>
      <c r="C86" s="33">
        <f t="shared" ref="C86:O86" si="121">C83/(1-C84)*100/100</f>
        <v>22768.421052631584</v>
      </c>
      <c r="D86" s="33">
        <f t="shared" si="121"/>
        <v>21833.684210526313</v>
      </c>
      <c r="E86" s="33">
        <f t="shared" si="121"/>
        <v>21250.526315789473</v>
      </c>
      <c r="F86" s="33">
        <f t="shared" si="121"/>
        <v>21838.757045187998</v>
      </c>
      <c r="G86" s="33">
        <f t="shared" si="121"/>
        <v>21781.071344257543</v>
      </c>
      <c r="H86" s="114">
        <f t="shared" si="121"/>
        <v>21722.319583145625</v>
      </c>
      <c r="I86" s="114">
        <f t="shared" si="121"/>
        <v>21664.396979952624</v>
      </c>
      <c r="J86" s="114">
        <f t="shared" si="121"/>
        <v>21607.185083547269</v>
      </c>
      <c r="K86" s="114">
        <f t="shared" si="121"/>
        <v>21550.446991667013</v>
      </c>
      <c r="L86" s="114">
        <f t="shared" si="121"/>
        <v>21493.945802049297</v>
      </c>
      <c r="M86" s="114">
        <f t="shared" si="121"/>
        <v>21436.970807906488</v>
      </c>
      <c r="N86" s="114">
        <f t="shared" si="121"/>
        <v>21379.758911501129</v>
      </c>
      <c r="O86" s="114">
        <f t="shared" si="121"/>
        <v>21322.191661701952</v>
      </c>
      <c r="P86" s="114">
        <f>P83/(1-P84)*100/100</f>
        <v>21264.032156246401</v>
      </c>
      <c r="Q86" s="114">
        <f>Q83/(1-Q84)*100/100</f>
        <v>21207.294064366142</v>
      </c>
      <c r="R86" s="114">
        <f t="shared" ref="R86:T86" si="122">R83/(1-R84)*100/100</f>
        <v>21151.220834046435</v>
      </c>
      <c r="S86" s="114">
        <f t="shared" si="122"/>
        <v>21095.80467438561</v>
      </c>
      <c r="T86" s="114">
        <f t="shared" si="122"/>
        <v>21041.037885776415</v>
      </c>
    </row>
    <row r="87" spans="1:20" x14ac:dyDescent="0.25">
      <c r="A87" s="90" t="s">
        <v>254</v>
      </c>
      <c r="B87" s="33"/>
      <c r="C87" s="33"/>
      <c r="D87" s="86">
        <f>'Majapidamiste nõudlus asulates'!F152</f>
        <v>3546</v>
      </c>
      <c r="E87" s="86">
        <f>'Majapidamiste nõudlus asulates'!G152</f>
        <v>3439</v>
      </c>
      <c r="F87" s="86">
        <f>'Majapidamiste nõudlus asulates'!H152</f>
        <v>3023.2425863763651</v>
      </c>
      <c r="G87" s="86">
        <f>'Majapidamiste nõudlus asulates'!I152</f>
        <v>2991.0459684847588</v>
      </c>
      <c r="H87" s="131">
        <f>'Majapidamiste nõudlus asulates'!J152</f>
        <v>3120.3504695140427</v>
      </c>
      <c r="I87" s="131">
        <f>'Majapidamiste nõudlus asulates'!K152</f>
        <v>3246.5748687895257</v>
      </c>
      <c r="J87" s="131">
        <f>'Majapidamiste nõudlus asulates'!L152</f>
        <v>3409.3620049084157</v>
      </c>
      <c r="K87" s="131">
        <f>'Majapidamiste nõudlus asulates'!M152</f>
        <v>3528.8945865247319</v>
      </c>
      <c r="L87" s="131">
        <f>'Majapidamiste nõudlus asulates'!N152</f>
        <v>3645.1269944301239</v>
      </c>
      <c r="M87" s="131">
        <f>'Majapidamiste nõudlus asulates'!O152</f>
        <v>3642.5214511353033</v>
      </c>
      <c r="N87" s="131">
        <f>'Majapidamiste nõudlus asulates'!P152</f>
        <v>3600.9658883675511</v>
      </c>
      <c r="O87" s="131">
        <f>'Majapidamiste nõudlus asulates'!Q152</f>
        <v>3559.1522165142846</v>
      </c>
      <c r="P87" s="131">
        <f>'Majapidamiste nõudlus asulates'!R152</f>
        <v>3516.9083628518279</v>
      </c>
      <c r="Q87" s="131">
        <f>'Majapidamiste nõudlus asulates'!S152</f>
        <v>3475.696945531427</v>
      </c>
      <c r="R87" s="131">
        <f>'Majapidamiste nõudlus asulates'!T152</f>
        <v>3434.9684469402987</v>
      </c>
      <c r="S87" s="131">
        <f>'Majapidamiste nõudlus asulates'!U152</f>
        <v>3394.7172081976209</v>
      </c>
      <c r="T87" s="131">
        <f>'Majapidamiste nõudlus asulates'!V152</f>
        <v>3354.9376367337995</v>
      </c>
    </row>
    <row r="88" spans="1:20" x14ac:dyDescent="0.25">
      <c r="A88" s="90" t="s">
        <v>255</v>
      </c>
      <c r="B88" s="33"/>
      <c r="C88" s="33"/>
      <c r="D88" s="86">
        <v>886</v>
      </c>
      <c r="E88" s="86">
        <v>840</v>
      </c>
      <c r="F88" s="21">
        <f>(D88+E88)/2</f>
        <v>863</v>
      </c>
      <c r="G88" s="21">
        <f t="shared" ref="G88:O88" si="123">F88</f>
        <v>863</v>
      </c>
      <c r="H88" s="23">
        <f t="shared" si="123"/>
        <v>863</v>
      </c>
      <c r="I88" s="23">
        <f t="shared" si="123"/>
        <v>863</v>
      </c>
      <c r="J88" s="23">
        <f t="shared" si="123"/>
        <v>863</v>
      </c>
      <c r="K88" s="23">
        <f t="shared" si="123"/>
        <v>863</v>
      </c>
      <c r="L88" s="23">
        <f t="shared" si="123"/>
        <v>863</v>
      </c>
      <c r="M88" s="23">
        <f t="shared" si="123"/>
        <v>863</v>
      </c>
      <c r="N88" s="23">
        <f t="shared" si="123"/>
        <v>863</v>
      </c>
      <c r="O88" s="23">
        <f t="shared" si="123"/>
        <v>863</v>
      </c>
      <c r="P88" s="23">
        <f>O88</f>
        <v>863</v>
      </c>
      <c r="Q88" s="23">
        <f>P88</f>
        <v>863</v>
      </c>
      <c r="R88" s="23">
        <f t="shared" ref="R88:T88" si="124">Q88</f>
        <v>863</v>
      </c>
      <c r="S88" s="23">
        <f t="shared" si="124"/>
        <v>863</v>
      </c>
      <c r="T88" s="23">
        <f t="shared" si="124"/>
        <v>863</v>
      </c>
    </row>
    <row r="89" spans="1:20" x14ac:dyDescent="0.25">
      <c r="A89" s="90" t="s">
        <v>256</v>
      </c>
      <c r="B89" s="33"/>
      <c r="C89" s="33"/>
      <c r="D89" s="25">
        <f>D87+D88</f>
        <v>4432</v>
      </c>
      <c r="E89" s="25">
        <f t="shared" ref="E89:O89" si="125">E87+E88</f>
        <v>4279</v>
      </c>
      <c r="F89" s="25">
        <f t="shared" si="125"/>
        <v>3886.2425863763651</v>
      </c>
      <c r="G89" s="25">
        <f t="shared" si="125"/>
        <v>3854.0459684847588</v>
      </c>
      <c r="H89" s="109">
        <f t="shared" si="125"/>
        <v>3983.3504695140427</v>
      </c>
      <c r="I89" s="109">
        <f t="shared" si="125"/>
        <v>4109.5748687895257</v>
      </c>
      <c r="J89" s="109">
        <f t="shared" si="125"/>
        <v>4272.3620049084157</v>
      </c>
      <c r="K89" s="109">
        <f t="shared" si="125"/>
        <v>4391.8945865247315</v>
      </c>
      <c r="L89" s="109">
        <f t="shared" si="125"/>
        <v>4508.1269944301239</v>
      </c>
      <c r="M89" s="109">
        <f t="shared" si="125"/>
        <v>4505.5214511353033</v>
      </c>
      <c r="N89" s="109">
        <f t="shared" si="125"/>
        <v>4463.9658883675511</v>
      </c>
      <c r="O89" s="109">
        <f t="shared" si="125"/>
        <v>4422.1522165142851</v>
      </c>
      <c r="P89" s="109">
        <f>P87+P88</f>
        <v>4379.9083628518274</v>
      </c>
      <c r="Q89" s="109">
        <f>Q87+Q88</f>
        <v>4338.6969455314265</v>
      </c>
      <c r="R89" s="109">
        <f t="shared" ref="R89:T89" si="126">R87+R88</f>
        <v>4297.9684469402982</v>
      </c>
      <c r="S89" s="109">
        <f t="shared" si="126"/>
        <v>4257.7172081976205</v>
      </c>
      <c r="T89" s="109">
        <f t="shared" si="126"/>
        <v>4217.9376367337991</v>
      </c>
    </row>
    <row r="90" spans="1:20" x14ac:dyDescent="0.25">
      <c r="A90" s="21" t="s">
        <v>231</v>
      </c>
      <c r="B90" s="33"/>
      <c r="C90" s="33"/>
      <c r="D90" s="38">
        <v>0.3</v>
      </c>
      <c r="E90" s="94">
        <v>0.18</v>
      </c>
      <c r="F90" s="94">
        <v>0.18</v>
      </c>
      <c r="G90" s="94">
        <v>0.18</v>
      </c>
      <c r="H90" s="130">
        <v>0.18</v>
      </c>
      <c r="I90" s="130">
        <v>0.18</v>
      </c>
      <c r="J90" s="130">
        <v>0.18</v>
      </c>
      <c r="K90" s="130">
        <v>0.15</v>
      </c>
      <c r="L90" s="130">
        <v>0.15</v>
      </c>
      <c r="M90" s="130">
        <v>0.15</v>
      </c>
      <c r="N90" s="130">
        <v>0.15</v>
      </c>
      <c r="O90" s="130">
        <v>0.15</v>
      </c>
      <c r="P90" s="130">
        <v>0.15</v>
      </c>
      <c r="Q90" s="130">
        <v>0.15</v>
      </c>
      <c r="R90" s="130">
        <v>0.15</v>
      </c>
      <c r="S90" s="130">
        <v>0.15</v>
      </c>
      <c r="T90" s="130">
        <v>0.15</v>
      </c>
    </row>
    <row r="91" spans="1:20" x14ac:dyDescent="0.25">
      <c r="A91" s="47" t="s">
        <v>232</v>
      </c>
      <c r="B91" s="33"/>
      <c r="C91" s="33"/>
      <c r="D91" s="25">
        <f t="shared" ref="D91:O91" si="127">D92-D89</f>
        <v>1899.4285714285716</v>
      </c>
      <c r="E91" s="25">
        <f t="shared" si="127"/>
        <v>939.292682926829</v>
      </c>
      <c r="F91" s="25">
        <f t="shared" si="127"/>
        <v>853.07764091188483</v>
      </c>
      <c r="G91" s="25">
        <f t="shared" si="127"/>
        <v>846.01009064299569</v>
      </c>
      <c r="H91" s="109">
        <f t="shared" si="127"/>
        <v>874.39400550308255</v>
      </c>
      <c r="I91" s="109">
        <f t="shared" si="127"/>
        <v>902.10180046599271</v>
      </c>
      <c r="J91" s="109">
        <f t="shared" si="127"/>
        <v>937.8355620530665</v>
      </c>
      <c r="K91" s="109">
        <f t="shared" si="127"/>
        <v>775.04022115142379</v>
      </c>
      <c r="L91" s="109">
        <f t="shared" si="127"/>
        <v>795.55182254649299</v>
      </c>
      <c r="M91" s="109">
        <f t="shared" si="127"/>
        <v>795.09202078858289</v>
      </c>
      <c r="N91" s="109">
        <f t="shared" si="127"/>
        <v>787.75868618250934</v>
      </c>
      <c r="O91" s="109">
        <f t="shared" si="127"/>
        <v>780.37980291428539</v>
      </c>
      <c r="P91" s="109">
        <f>P92-P89</f>
        <v>772.92500520914655</v>
      </c>
      <c r="Q91" s="109">
        <f>Q92-Q89</f>
        <v>765.65240215260474</v>
      </c>
      <c r="R91" s="109">
        <f t="shared" ref="R91:T91" si="128">R92-R89</f>
        <v>758.46502004828835</v>
      </c>
      <c r="S91" s="109">
        <f t="shared" si="128"/>
        <v>751.36186027016811</v>
      </c>
      <c r="T91" s="109">
        <f t="shared" si="128"/>
        <v>744.34193589420011</v>
      </c>
    </row>
    <row r="92" spans="1:20" x14ac:dyDescent="0.25">
      <c r="A92" s="49" t="s">
        <v>303</v>
      </c>
      <c r="B92" s="33"/>
      <c r="C92" s="33"/>
      <c r="D92" s="33">
        <f t="shared" ref="D92:O92" si="129">D89/(1-D90)*100/100</f>
        <v>6331.4285714285716</v>
      </c>
      <c r="E92" s="33">
        <f t="shared" si="129"/>
        <v>5218.292682926829</v>
      </c>
      <c r="F92" s="33">
        <f t="shared" si="129"/>
        <v>4739.32022728825</v>
      </c>
      <c r="G92" s="33">
        <f t="shared" si="129"/>
        <v>4700.0560591277545</v>
      </c>
      <c r="H92" s="114">
        <f t="shared" si="129"/>
        <v>4857.7444750171253</v>
      </c>
      <c r="I92" s="114">
        <f t="shared" si="129"/>
        <v>5011.6766692555184</v>
      </c>
      <c r="J92" s="114">
        <f t="shared" si="129"/>
        <v>5210.1975669614822</v>
      </c>
      <c r="K92" s="114">
        <f t="shared" si="129"/>
        <v>5166.9348076761553</v>
      </c>
      <c r="L92" s="114">
        <f t="shared" si="129"/>
        <v>5303.6788169766169</v>
      </c>
      <c r="M92" s="114">
        <f t="shared" si="129"/>
        <v>5300.6134719238862</v>
      </c>
      <c r="N92" s="114">
        <f t="shared" si="129"/>
        <v>5251.7245745500604</v>
      </c>
      <c r="O92" s="114">
        <f t="shared" si="129"/>
        <v>5202.5320194285705</v>
      </c>
      <c r="P92" s="114">
        <f>P89/(1-P90)*100/100</f>
        <v>5152.833368060974</v>
      </c>
      <c r="Q92" s="114">
        <f>Q89/(1-Q90)*100/100</f>
        <v>5104.3493476840313</v>
      </c>
      <c r="R92" s="114">
        <f t="shared" ref="R92:T92" si="130">R89/(1-R90)*100/100</f>
        <v>5056.4334669885866</v>
      </c>
      <c r="S92" s="114">
        <f t="shared" si="130"/>
        <v>5009.0790684677886</v>
      </c>
      <c r="T92" s="114">
        <f t="shared" si="130"/>
        <v>4962.2795726279992</v>
      </c>
    </row>
    <row r="93" spans="1:20" x14ac:dyDescent="0.25">
      <c r="A93" s="90" t="s">
        <v>257</v>
      </c>
      <c r="B93" s="33"/>
      <c r="C93" s="33"/>
      <c r="D93" s="86">
        <f>'Majapidamiste nõudlus asulates'!F153</f>
        <v>12149</v>
      </c>
      <c r="E93" s="86">
        <f>'Majapidamiste nõudlus asulates'!G153</f>
        <v>13797</v>
      </c>
      <c r="F93" s="86">
        <f>'Majapidamiste nõudlus asulates'!H153</f>
        <v>14063.60403</v>
      </c>
      <c r="G93" s="86">
        <f>'Majapidamiste nõudlus asulates'!I153</f>
        <v>13913.83090654202</v>
      </c>
      <c r="H93" s="131">
        <f>'Majapidamiste nõudlus asulates'!J153</f>
        <v>14515.333184251131</v>
      </c>
      <c r="I93" s="131">
        <f>'Majapidamiste nõudlus asulates'!K153</f>
        <v>15102.50735887227</v>
      </c>
      <c r="J93" s="131">
        <f>'Majapidamiste nõudlus asulates'!L153</f>
        <v>15859.765090643576</v>
      </c>
      <c r="K93" s="131">
        <f>'Majapidamiste nõudlus asulates'!M153</f>
        <v>16415.810081578431</v>
      </c>
      <c r="L93" s="131">
        <f>'Majapidamiste nõudlus asulates'!N153</f>
        <v>16956.503232568393</v>
      </c>
      <c r="M93" s="131">
        <f>'Majapidamiste nõudlus asulates'!O153</f>
        <v>16944.382693731546</v>
      </c>
      <c r="N93" s="131">
        <f>'Majapidamiste nõudlus asulates'!P153</f>
        <v>16751.073369946858</v>
      </c>
      <c r="O93" s="131">
        <f>'Majapidamiste nõudlus asulates'!Q153</f>
        <v>16556.563367132454</v>
      </c>
      <c r="P93" s="131">
        <f>'Majapidamiste nõudlus asulates'!R153</f>
        <v>16360.052232601853</v>
      </c>
      <c r="Q93" s="131">
        <f>'Majapidamiste nõudlus asulates'!S153</f>
        <v>16168.343814190119</v>
      </c>
      <c r="R93" s="131">
        <f>'Majapidamiste nõudlus asulates'!T153</f>
        <v>15978.881850567615</v>
      </c>
      <c r="S93" s="131">
        <f>'Majapidamiste nõudlus asulates'!U153</f>
        <v>15791.640017594993</v>
      </c>
      <c r="T93" s="131">
        <f>'Majapidamiste nõudlus asulates'!V153</f>
        <v>15606.592299601303</v>
      </c>
    </row>
    <row r="94" spans="1:20" x14ac:dyDescent="0.25">
      <c r="A94" s="90" t="s">
        <v>258</v>
      </c>
      <c r="B94" s="33"/>
      <c r="C94" s="33"/>
      <c r="D94" s="91">
        <v>2477</v>
      </c>
      <c r="E94" s="91">
        <v>1136</v>
      </c>
      <c r="F94" s="91">
        <f>(D94+E94)/2</f>
        <v>1806.5</v>
      </c>
      <c r="G94" s="91">
        <f>F94</f>
        <v>1806.5</v>
      </c>
      <c r="H94" s="134">
        <f t="shared" ref="H94:O94" si="131">G94</f>
        <v>1806.5</v>
      </c>
      <c r="I94" s="134">
        <f t="shared" si="131"/>
        <v>1806.5</v>
      </c>
      <c r="J94" s="134">
        <f t="shared" si="131"/>
        <v>1806.5</v>
      </c>
      <c r="K94" s="134">
        <f t="shared" si="131"/>
        <v>1806.5</v>
      </c>
      <c r="L94" s="134">
        <f t="shared" si="131"/>
        <v>1806.5</v>
      </c>
      <c r="M94" s="134">
        <f t="shared" si="131"/>
        <v>1806.5</v>
      </c>
      <c r="N94" s="134">
        <f t="shared" si="131"/>
        <v>1806.5</v>
      </c>
      <c r="O94" s="134">
        <f t="shared" si="131"/>
        <v>1806.5</v>
      </c>
      <c r="P94" s="134">
        <f>O94</f>
        <v>1806.5</v>
      </c>
      <c r="Q94" s="134">
        <f>P94</f>
        <v>1806.5</v>
      </c>
      <c r="R94" s="134">
        <f t="shared" ref="R94:T94" si="132">Q94</f>
        <v>1806.5</v>
      </c>
      <c r="S94" s="134">
        <f t="shared" si="132"/>
        <v>1806.5</v>
      </c>
      <c r="T94" s="134">
        <f t="shared" si="132"/>
        <v>1806.5</v>
      </c>
    </row>
    <row r="95" spans="1:20" x14ac:dyDescent="0.25">
      <c r="A95" s="90" t="s">
        <v>259</v>
      </c>
      <c r="B95" s="33"/>
      <c r="C95" s="33"/>
      <c r="D95" s="25">
        <f>D93+D94</f>
        <v>14626</v>
      </c>
      <c r="E95" s="25">
        <f t="shared" ref="E95:O95" si="133">E93+E94</f>
        <v>14933</v>
      </c>
      <c r="F95" s="25">
        <f t="shared" si="133"/>
        <v>15870.10403</v>
      </c>
      <c r="G95" s="25">
        <f t="shared" si="133"/>
        <v>15720.33090654202</v>
      </c>
      <c r="H95" s="109">
        <f t="shared" si="133"/>
        <v>16321.833184251131</v>
      </c>
      <c r="I95" s="109">
        <f t="shared" si="133"/>
        <v>16909.00735887227</v>
      </c>
      <c r="J95" s="109">
        <f t="shared" si="133"/>
        <v>17666.265090643574</v>
      </c>
      <c r="K95" s="109">
        <f t="shared" si="133"/>
        <v>18222.310081578431</v>
      </c>
      <c r="L95" s="109">
        <f t="shared" si="133"/>
        <v>18763.003232568393</v>
      </c>
      <c r="M95" s="109">
        <f t="shared" si="133"/>
        <v>18750.882693731546</v>
      </c>
      <c r="N95" s="109">
        <f t="shared" si="133"/>
        <v>18557.573369946858</v>
      </c>
      <c r="O95" s="109">
        <f t="shared" si="133"/>
        <v>18363.063367132454</v>
      </c>
      <c r="P95" s="109">
        <f>P93+P94</f>
        <v>18166.552232601854</v>
      </c>
      <c r="Q95" s="109">
        <f>Q93+Q94</f>
        <v>17974.843814190121</v>
      </c>
      <c r="R95" s="109">
        <f t="shared" ref="R95:T95" si="134">R93+R94</f>
        <v>17785.381850567617</v>
      </c>
      <c r="S95" s="109">
        <f t="shared" si="134"/>
        <v>17598.140017594993</v>
      </c>
      <c r="T95" s="109">
        <f t="shared" si="134"/>
        <v>17413.092299601303</v>
      </c>
    </row>
    <row r="96" spans="1:20" x14ac:dyDescent="0.25">
      <c r="A96" s="21" t="s">
        <v>231</v>
      </c>
      <c r="B96" s="33"/>
      <c r="C96" s="33"/>
      <c r="D96" s="38">
        <v>0.6</v>
      </c>
      <c r="E96" s="38">
        <v>0.6</v>
      </c>
      <c r="F96" s="58">
        <v>0.6</v>
      </c>
      <c r="G96" s="89">
        <v>0.45</v>
      </c>
      <c r="H96" s="128">
        <v>0.2</v>
      </c>
      <c r="I96" s="128">
        <v>0.2</v>
      </c>
      <c r="J96" s="128">
        <v>0.2</v>
      </c>
      <c r="K96" s="128">
        <v>0.2</v>
      </c>
      <c r="L96" s="128">
        <v>0.2</v>
      </c>
      <c r="M96" s="128">
        <v>0.2</v>
      </c>
      <c r="N96" s="128">
        <v>0.2</v>
      </c>
      <c r="O96" s="128">
        <v>0.2</v>
      </c>
      <c r="P96" s="128">
        <v>0.2</v>
      </c>
      <c r="Q96" s="128">
        <v>0.2</v>
      </c>
      <c r="R96" s="128">
        <v>0.2</v>
      </c>
      <c r="S96" s="128">
        <v>0.2</v>
      </c>
      <c r="T96" s="128">
        <v>0.2</v>
      </c>
    </row>
    <row r="97" spans="1:20" x14ac:dyDescent="0.25">
      <c r="A97" s="47" t="s">
        <v>232</v>
      </c>
      <c r="B97" s="33"/>
      <c r="C97" s="33"/>
      <c r="D97" s="25">
        <f t="shared" ref="D97:O97" si="135">D98-D95</f>
        <v>21939</v>
      </c>
      <c r="E97" s="25">
        <f t="shared" si="135"/>
        <v>22399.5</v>
      </c>
      <c r="F97" s="25">
        <f t="shared" si="135"/>
        <v>23805.156044999996</v>
      </c>
      <c r="G97" s="25">
        <f t="shared" si="135"/>
        <v>12862.088923534377</v>
      </c>
      <c r="H97" s="109">
        <f t="shared" si="135"/>
        <v>4080.4582960627831</v>
      </c>
      <c r="I97" s="109">
        <f t="shared" si="135"/>
        <v>4227.2518397180647</v>
      </c>
      <c r="J97" s="109">
        <f t="shared" si="135"/>
        <v>4416.5662726608934</v>
      </c>
      <c r="K97" s="109">
        <f t="shared" si="135"/>
        <v>4555.5775203946068</v>
      </c>
      <c r="L97" s="109">
        <f t="shared" si="135"/>
        <v>4690.7508081420965</v>
      </c>
      <c r="M97" s="109">
        <f t="shared" si="135"/>
        <v>4687.7206734328865</v>
      </c>
      <c r="N97" s="109">
        <f t="shared" si="135"/>
        <v>4639.39334248671</v>
      </c>
      <c r="O97" s="109">
        <f t="shared" si="135"/>
        <v>4590.7658417831117</v>
      </c>
      <c r="P97" s="109">
        <f>P98-P95</f>
        <v>4541.6380581504636</v>
      </c>
      <c r="Q97" s="109">
        <f>Q98-Q95</f>
        <v>4493.7109535475283</v>
      </c>
      <c r="R97" s="109">
        <f t="shared" ref="R97:T97" si="136">R98-R95</f>
        <v>4446.3454626419043</v>
      </c>
      <c r="S97" s="109">
        <f t="shared" si="136"/>
        <v>4399.5350043987455</v>
      </c>
      <c r="T97" s="109">
        <f t="shared" si="136"/>
        <v>4353.273074900324</v>
      </c>
    </row>
    <row r="98" spans="1:20" x14ac:dyDescent="0.25">
      <c r="A98" s="93" t="s">
        <v>304</v>
      </c>
      <c r="B98" s="33"/>
      <c r="C98" s="33"/>
      <c r="D98" s="33">
        <f t="shared" ref="D98:O98" si="137">D95/(1-D96)*100/100</f>
        <v>36565</v>
      </c>
      <c r="E98" s="33">
        <f t="shared" si="137"/>
        <v>37332.5</v>
      </c>
      <c r="F98" s="33">
        <f t="shared" si="137"/>
        <v>39675.260074999998</v>
      </c>
      <c r="G98" s="33">
        <f t="shared" si="137"/>
        <v>28582.419830076396</v>
      </c>
      <c r="H98" s="114">
        <f t="shared" si="137"/>
        <v>20402.291480313914</v>
      </c>
      <c r="I98" s="114">
        <f t="shared" si="137"/>
        <v>21136.259198590335</v>
      </c>
      <c r="J98" s="114">
        <f t="shared" si="137"/>
        <v>22082.831363304467</v>
      </c>
      <c r="K98" s="114">
        <f t="shared" si="137"/>
        <v>22777.887601973038</v>
      </c>
      <c r="L98" s="114">
        <f t="shared" si="137"/>
        <v>23453.75404071049</v>
      </c>
      <c r="M98" s="114">
        <f t="shared" si="137"/>
        <v>23438.603367164433</v>
      </c>
      <c r="N98" s="114">
        <f t="shared" si="137"/>
        <v>23196.966712433568</v>
      </c>
      <c r="O98" s="114">
        <f t="shared" si="137"/>
        <v>22953.829208915566</v>
      </c>
      <c r="P98" s="114">
        <f>P95/(1-P96)*100/100</f>
        <v>22708.190290752318</v>
      </c>
      <c r="Q98" s="114">
        <f>Q95/(1-Q96)*100/100</f>
        <v>22468.554767737649</v>
      </c>
      <c r="R98" s="114">
        <f t="shared" ref="R98:T98" si="138">R95/(1-R96)*100/100</f>
        <v>22231.727313209522</v>
      </c>
      <c r="S98" s="114">
        <f t="shared" si="138"/>
        <v>21997.675021993738</v>
      </c>
      <c r="T98" s="114">
        <f t="shared" si="138"/>
        <v>21766.365374501627</v>
      </c>
    </row>
    <row r="99" spans="1:20" x14ac:dyDescent="0.25">
      <c r="A99" s="90" t="s">
        <v>260</v>
      </c>
      <c r="B99" s="33"/>
      <c r="C99" s="33"/>
      <c r="D99" s="86">
        <f>'Majapidamiste nõudlus asulates'!F154</f>
        <v>6048</v>
      </c>
      <c r="E99" s="86">
        <f>'Majapidamiste nõudlus asulates'!G154</f>
        <v>5930</v>
      </c>
      <c r="F99" s="86">
        <f>'Majapidamiste nõudlus asulates'!H154</f>
        <v>6186.2477735947023</v>
      </c>
      <c r="G99" s="86">
        <f>'Majapidamiste nõudlus asulates'!I154</f>
        <v>6120.3661084425967</v>
      </c>
      <c r="H99" s="131">
        <f>'Majapidamiste nõudlus asulates'!J154</f>
        <v>6053.2669176511317</v>
      </c>
      <c r="I99" s="131">
        <f>'Majapidamiste nõudlus asulates'!K154</f>
        <v>5987.1146912458353</v>
      </c>
      <c r="J99" s="131">
        <f>'Majapidamiste nõudlus asulates'!L154</f>
        <v>5921.7741486001123</v>
      </c>
      <c r="K99" s="131">
        <f>'Majapidamiste nõudlus asulates'!M154</f>
        <v>5856.974728460772</v>
      </c>
      <c r="L99" s="131">
        <f>'Majapidamiste nõudlus asulates'!N154</f>
        <v>5792.4458695746243</v>
      </c>
      <c r="M99" s="131">
        <f>'Majapidamiste nõudlus asulates'!O154</f>
        <v>5727.3758881820931</v>
      </c>
      <c r="N99" s="131">
        <f>'Majapidamiste nõudlus asulates'!P154</f>
        <v>5662.0353455363702</v>
      </c>
      <c r="O99" s="131">
        <f>'Majapidamiste nõudlus asulates'!Q154</f>
        <v>5596.2889610108605</v>
      </c>
      <c r="P99" s="131">
        <f>'Majapidamiste nõudlus asulates'!R154</f>
        <v>5529.8661733523732</v>
      </c>
      <c r="Q99" s="131">
        <f>'Majapidamiste nõudlus asulates'!S154</f>
        <v>5465.0667532130328</v>
      </c>
      <c r="R99" s="131">
        <f>'Majapidamiste nõudlus asulates'!T154</f>
        <v>5401.026657932337</v>
      </c>
      <c r="S99" s="131">
        <f>'Majapidamiste nõudlus asulates'!U154</f>
        <v>5337.7369896800292</v>
      </c>
      <c r="T99" s="131">
        <f>'Majapidamiste nõudlus asulates'!V154</f>
        <v>5275.1889548913523</v>
      </c>
    </row>
    <row r="100" spans="1:20" x14ac:dyDescent="0.25">
      <c r="A100" s="90" t="s">
        <v>261</v>
      </c>
      <c r="B100" s="33"/>
      <c r="C100" s="33"/>
      <c r="D100" s="91">
        <v>545</v>
      </c>
      <c r="E100" s="91">
        <v>597</v>
      </c>
      <c r="F100" s="91">
        <f>(D100+E100)/2</f>
        <v>571</v>
      </c>
      <c r="G100" s="91">
        <f>F100</f>
        <v>571</v>
      </c>
      <c r="H100" s="134">
        <f t="shared" ref="H100:O100" si="139">G100</f>
        <v>571</v>
      </c>
      <c r="I100" s="134">
        <f t="shared" si="139"/>
        <v>571</v>
      </c>
      <c r="J100" s="134">
        <f t="shared" si="139"/>
        <v>571</v>
      </c>
      <c r="K100" s="134">
        <f t="shared" si="139"/>
        <v>571</v>
      </c>
      <c r="L100" s="134">
        <f t="shared" si="139"/>
        <v>571</v>
      </c>
      <c r="M100" s="134">
        <f t="shared" si="139"/>
        <v>571</v>
      </c>
      <c r="N100" s="134">
        <f t="shared" si="139"/>
        <v>571</v>
      </c>
      <c r="O100" s="134">
        <f t="shared" si="139"/>
        <v>571</v>
      </c>
      <c r="P100" s="134">
        <f>O100</f>
        <v>571</v>
      </c>
      <c r="Q100" s="134">
        <f>P100</f>
        <v>571</v>
      </c>
      <c r="R100" s="134">
        <f t="shared" ref="R100:T100" si="140">Q100</f>
        <v>571</v>
      </c>
      <c r="S100" s="134">
        <f t="shared" si="140"/>
        <v>571</v>
      </c>
      <c r="T100" s="134">
        <f t="shared" si="140"/>
        <v>571</v>
      </c>
    </row>
    <row r="101" spans="1:20" x14ac:dyDescent="0.25">
      <c r="A101" s="90" t="s">
        <v>262</v>
      </c>
      <c r="B101" s="33"/>
      <c r="C101" s="33"/>
      <c r="D101" s="25">
        <f>D99+D100</f>
        <v>6593</v>
      </c>
      <c r="E101" s="25">
        <f t="shared" ref="E101" si="141">E99+E100</f>
        <v>6527</v>
      </c>
      <c r="F101" s="25">
        <f t="shared" ref="F101" si="142">F99+F100</f>
        <v>6757.2477735947023</v>
      </c>
      <c r="G101" s="25">
        <f t="shared" ref="G101" si="143">G99+G100</f>
        <v>6691.3661084425967</v>
      </c>
      <c r="H101" s="109">
        <f t="shared" ref="H101" si="144">H99+H100</f>
        <v>6624.2669176511317</v>
      </c>
      <c r="I101" s="109">
        <f t="shared" ref="I101" si="145">I99+I100</f>
        <v>6558.1146912458353</v>
      </c>
      <c r="J101" s="109">
        <f t="shared" ref="J101" si="146">J99+J100</f>
        <v>6492.7741486001123</v>
      </c>
      <c r="K101" s="109">
        <f t="shared" ref="K101" si="147">K99+K100</f>
        <v>6427.974728460772</v>
      </c>
      <c r="L101" s="109">
        <f t="shared" ref="L101" si="148">L99+L100</f>
        <v>6363.4458695746243</v>
      </c>
      <c r="M101" s="109">
        <f t="shared" ref="M101" si="149">M99+M100</f>
        <v>6298.3758881820931</v>
      </c>
      <c r="N101" s="109">
        <f t="shared" ref="N101" si="150">N99+N100</f>
        <v>6233.0353455363702</v>
      </c>
      <c r="O101" s="109">
        <f t="shared" ref="O101" si="151">O99+O100</f>
        <v>6167.2889610108605</v>
      </c>
      <c r="P101" s="109">
        <f>P99+P100</f>
        <v>6100.8661733523732</v>
      </c>
      <c r="Q101" s="109">
        <f>Q99+Q100</f>
        <v>6036.0667532130328</v>
      </c>
      <c r="R101" s="109">
        <f t="shared" ref="R101:T101" si="152">R99+R100</f>
        <v>5972.026657932337</v>
      </c>
      <c r="S101" s="109">
        <f t="shared" si="152"/>
        <v>5908.7369896800292</v>
      </c>
      <c r="T101" s="109">
        <f t="shared" si="152"/>
        <v>5846.1889548913523</v>
      </c>
    </row>
    <row r="102" spans="1:20" x14ac:dyDescent="0.25">
      <c r="A102" s="21" t="s">
        <v>231</v>
      </c>
      <c r="B102" s="33"/>
      <c r="C102" s="33"/>
      <c r="D102" s="38">
        <v>0.3</v>
      </c>
      <c r="E102" s="38">
        <v>0.3</v>
      </c>
      <c r="F102" s="89">
        <v>0.18</v>
      </c>
      <c r="G102" s="89">
        <v>0.18</v>
      </c>
      <c r="H102" s="128">
        <v>0.18</v>
      </c>
      <c r="I102" s="128">
        <v>0.18</v>
      </c>
      <c r="J102" s="128">
        <v>0.18</v>
      </c>
      <c r="K102" s="128">
        <v>0.18</v>
      </c>
      <c r="L102" s="128">
        <v>0.18</v>
      </c>
      <c r="M102" s="128">
        <v>0.18</v>
      </c>
      <c r="N102" s="128">
        <v>0.18</v>
      </c>
      <c r="O102" s="128">
        <v>0.18</v>
      </c>
      <c r="P102" s="128">
        <v>0.18</v>
      </c>
      <c r="Q102" s="128">
        <v>0.18</v>
      </c>
      <c r="R102" s="128">
        <v>0.18</v>
      </c>
      <c r="S102" s="128">
        <v>0.18</v>
      </c>
      <c r="T102" s="128">
        <v>0.18</v>
      </c>
    </row>
    <row r="103" spans="1:20" x14ac:dyDescent="0.25">
      <c r="A103" s="47" t="s">
        <v>232</v>
      </c>
      <c r="B103" s="33"/>
      <c r="C103" s="33"/>
      <c r="D103" s="25">
        <f t="shared" ref="D103:O103" si="153">D104-D101</f>
        <v>2825.5714285714294</v>
      </c>
      <c r="E103" s="25">
        <f t="shared" si="153"/>
        <v>2797.2857142857156</v>
      </c>
      <c r="F103" s="25">
        <f t="shared" si="153"/>
        <v>1483.2982917646905</v>
      </c>
      <c r="G103" s="25">
        <f t="shared" si="153"/>
        <v>1468.8364628288618</v>
      </c>
      <c r="H103" s="109">
        <f t="shared" si="153"/>
        <v>1454.107372167321</v>
      </c>
      <c r="I103" s="109">
        <f t="shared" si="153"/>
        <v>1439.5861517368912</v>
      </c>
      <c r="J103" s="109">
        <f t="shared" si="153"/>
        <v>1425.2431057902677</v>
      </c>
      <c r="K103" s="109">
        <f t="shared" si="153"/>
        <v>1411.018842832852</v>
      </c>
      <c r="L103" s="109">
        <f t="shared" si="153"/>
        <v>1396.8539713700384</v>
      </c>
      <c r="M103" s="109">
        <f t="shared" si="153"/>
        <v>1382.5703169180206</v>
      </c>
      <c r="N103" s="109">
        <f t="shared" si="153"/>
        <v>1368.227270971398</v>
      </c>
      <c r="O103" s="109">
        <f t="shared" si="153"/>
        <v>1353.7951377828713</v>
      </c>
      <c r="P103" s="109">
        <f>P104-P101</f>
        <v>1339.2145258578385</v>
      </c>
      <c r="Q103" s="109">
        <f>Q104-Q101</f>
        <v>1324.9902629004209</v>
      </c>
      <c r="R103" s="109">
        <f t="shared" ref="R103:T103" si="154">R104-R101</f>
        <v>1310.9326810095372</v>
      </c>
      <c r="S103" s="109">
        <f t="shared" si="154"/>
        <v>1297.0398270029327</v>
      </c>
      <c r="T103" s="109">
        <f t="shared" si="154"/>
        <v>1283.3097705859072</v>
      </c>
    </row>
    <row r="104" spans="1:20" x14ac:dyDescent="0.25">
      <c r="A104" s="93" t="s">
        <v>305</v>
      </c>
      <c r="B104" s="33"/>
      <c r="C104" s="33"/>
      <c r="D104" s="33">
        <f t="shared" ref="D104:O104" si="155">D101/(1-D102)*100/100</f>
        <v>9418.5714285714294</v>
      </c>
      <c r="E104" s="33">
        <f t="shared" si="155"/>
        <v>9324.2857142857156</v>
      </c>
      <c r="F104" s="33">
        <f t="shared" si="155"/>
        <v>8240.5460653593927</v>
      </c>
      <c r="G104" s="33">
        <f t="shared" si="155"/>
        <v>8160.2025712714585</v>
      </c>
      <c r="H104" s="114">
        <f t="shared" si="155"/>
        <v>8078.3742898184528</v>
      </c>
      <c r="I104" s="114">
        <f t="shared" si="155"/>
        <v>7997.7008429827265</v>
      </c>
      <c r="J104" s="114">
        <f t="shared" si="155"/>
        <v>7918.01725439038</v>
      </c>
      <c r="K104" s="114">
        <f t="shared" si="155"/>
        <v>7838.993571293624</v>
      </c>
      <c r="L104" s="114">
        <f t="shared" si="155"/>
        <v>7760.2998409446627</v>
      </c>
      <c r="M104" s="114">
        <f t="shared" si="155"/>
        <v>7680.9462051001137</v>
      </c>
      <c r="N104" s="114">
        <f t="shared" si="155"/>
        <v>7601.2626165077681</v>
      </c>
      <c r="O104" s="114">
        <f t="shared" si="155"/>
        <v>7521.0840987937318</v>
      </c>
      <c r="P104" s="114">
        <f>P101/(1-P102)*100/100</f>
        <v>7440.0806992102116</v>
      </c>
      <c r="Q104" s="114">
        <f>Q101/(1-Q102)*100/100</f>
        <v>7361.0570161134538</v>
      </c>
      <c r="R104" s="114">
        <f t="shared" ref="R104:T104" si="156">R101/(1-R102)*100/100</f>
        <v>7282.9593389418742</v>
      </c>
      <c r="S104" s="114">
        <f t="shared" si="156"/>
        <v>7205.7768166829619</v>
      </c>
      <c r="T104" s="114">
        <f t="shared" si="156"/>
        <v>7129.4987254772595</v>
      </c>
    </row>
    <row r="105" spans="1:20" x14ac:dyDescent="0.25">
      <c r="A105" s="90" t="s">
        <v>263</v>
      </c>
      <c r="B105" s="33"/>
      <c r="C105" s="33"/>
      <c r="D105" s="86">
        <f>'Majapidamiste nõudlus asulates'!F155</f>
        <v>3624</v>
      </c>
      <c r="E105" s="86">
        <f>'Majapidamiste nõudlus asulates'!G155</f>
        <v>3450</v>
      </c>
      <c r="F105" s="86">
        <f>'Majapidamiste nõudlus asulates'!H155</f>
        <v>3601.8043463585609</v>
      </c>
      <c r="G105" s="86">
        <f>'Majapidamiste nõudlus asulates'!I155</f>
        <v>3563.4462209528747</v>
      </c>
      <c r="H105" s="131">
        <f>'Majapidamiste nõudlus asulates'!J155</f>
        <v>3524.3792184863032</v>
      </c>
      <c r="I105" s="131">
        <f>'Majapidamiste nõudlus asulates'!K155</f>
        <v>3485.8635648448649</v>
      </c>
      <c r="J105" s="131">
        <f>'Majapidamiste nõudlus asulates'!L155</f>
        <v>3447.8204959106838</v>
      </c>
      <c r="K105" s="131">
        <f>'Majapidamiste nõudlus asulates'!M155</f>
        <v>3410.0924834480074</v>
      </c>
      <c r="L105" s="131">
        <f>'Majapidamiste nõudlus asulates'!N155</f>
        <v>3372.5219992210818</v>
      </c>
      <c r="M105" s="131">
        <f>'Majapidamiste nõudlus asulates'!O155</f>
        <v>3334.6364585226524</v>
      </c>
      <c r="N105" s="131">
        <f>'Majapidamiste nõudlus asulates'!P155</f>
        <v>3296.5933895884718</v>
      </c>
      <c r="O105" s="131">
        <f>'Majapidamiste nõudlus asulates'!Q155</f>
        <v>3258.3140283006614</v>
      </c>
      <c r="P105" s="131">
        <f>'Majapidamiste nõudlus asulates'!R155</f>
        <v>3219.640846423471</v>
      </c>
      <c r="Q105" s="131">
        <f>'Majapidamiste nõudlus asulates'!S155</f>
        <v>3181.9128339607937</v>
      </c>
      <c r="R105" s="131">
        <f>'Majapidamiste nõudlus asulates'!T155</f>
        <v>3144.6269214068589</v>
      </c>
      <c r="S105" s="131">
        <f>'Majapidamiste nõudlus asulates'!U155</f>
        <v>3107.7779281990915</v>
      </c>
      <c r="T105" s="131">
        <f>'Majapidamiste nõudlus asulates'!V155</f>
        <v>3071.360734481173</v>
      </c>
    </row>
    <row r="106" spans="1:20" x14ac:dyDescent="0.25">
      <c r="A106" s="90" t="s">
        <v>265</v>
      </c>
      <c r="B106" s="33"/>
      <c r="C106" s="33"/>
      <c r="D106" s="91">
        <v>241</v>
      </c>
      <c r="E106" s="91">
        <v>102</v>
      </c>
      <c r="F106" s="91">
        <f>(D106+E106)/2</f>
        <v>171.5</v>
      </c>
      <c r="G106" s="91">
        <f>F106</f>
        <v>171.5</v>
      </c>
      <c r="H106" s="134">
        <f t="shared" ref="H106:O106" si="157">G106</f>
        <v>171.5</v>
      </c>
      <c r="I106" s="134">
        <f t="shared" si="157"/>
        <v>171.5</v>
      </c>
      <c r="J106" s="134">
        <f t="shared" si="157"/>
        <v>171.5</v>
      </c>
      <c r="K106" s="134">
        <f t="shared" si="157"/>
        <v>171.5</v>
      </c>
      <c r="L106" s="134">
        <f t="shared" si="157"/>
        <v>171.5</v>
      </c>
      <c r="M106" s="134">
        <f t="shared" si="157"/>
        <v>171.5</v>
      </c>
      <c r="N106" s="134">
        <f t="shared" si="157"/>
        <v>171.5</v>
      </c>
      <c r="O106" s="134">
        <f t="shared" si="157"/>
        <v>171.5</v>
      </c>
      <c r="P106" s="134">
        <f>O106</f>
        <v>171.5</v>
      </c>
      <c r="Q106" s="134">
        <f>P106</f>
        <v>171.5</v>
      </c>
      <c r="R106" s="134">
        <f t="shared" ref="R106:T106" si="158">Q106</f>
        <v>171.5</v>
      </c>
      <c r="S106" s="134">
        <f t="shared" si="158"/>
        <v>171.5</v>
      </c>
      <c r="T106" s="134">
        <f t="shared" si="158"/>
        <v>171.5</v>
      </c>
    </row>
    <row r="107" spans="1:20" x14ac:dyDescent="0.25">
      <c r="A107" s="90" t="s">
        <v>264</v>
      </c>
      <c r="B107" s="33"/>
      <c r="C107" s="33"/>
      <c r="D107" s="25">
        <f>D105+D106</f>
        <v>3865</v>
      </c>
      <c r="E107" s="25">
        <f t="shared" ref="E107" si="159">E105+E106</f>
        <v>3552</v>
      </c>
      <c r="F107" s="25">
        <f t="shared" ref="F107" si="160">F105+F106</f>
        <v>3773.3043463585609</v>
      </c>
      <c r="G107" s="25">
        <f t="shared" ref="G107" si="161">G105+G106</f>
        <v>3734.9462209528747</v>
      </c>
      <c r="H107" s="109">
        <f t="shared" ref="H107" si="162">H105+H106</f>
        <v>3695.8792184863032</v>
      </c>
      <c r="I107" s="109">
        <f t="shared" ref="I107" si="163">I105+I106</f>
        <v>3657.3635648448649</v>
      </c>
      <c r="J107" s="109">
        <f t="shared" ref="J107" si="164">J105+J106</f>
        <v>3619.3204959106838</v>
      </c>
      <c r="K107" s="109">
        <f t="shared" ref="K107" si="165">K105+K106</f>
        <v>3581.5924834480074</v>
      </c>
      <c r="L107" s="109">
        <f t="shared" ref="L107" si="166">L105+L106</f>
        <v>3544.0219992210818</v>
      </c>
      <c r="M107" s="109">
        <f t="shared" ref="M107" si="167">M105+M106</f>
        <v>3506.1364585226524</v>
      </c>
      <c r="N107" s="109">
        <f t="shared" ref="N107" si="168">N105+N106</f>
        <v>3468.0933895884718</v>
      </c>
      <c r="O107" s="109">
        <f t="shared" ref="O107" si="169">O105+O106</f>
        <v>3429.8140283006614</v>
      </c>
      <c r="P107" s="109">
        <f>P105+P106</f>
        <v>3391.140846423471</v>
      </c>
      <c r="Q107" s="109">
        <f>Q105+Q106</f>
        <v>3353.4128339607937</v>
      </c>
      <c r="R107" s="109">
        <f t="shared" ref="R107:T107" si="170">R105+R106</f>
        <v>3316.1269214068589</v>
      </c>
      <c r="S107" s="109">
        <f t="shared" si="170"/>
        <v>3279.2779281990915</v>
      </c>
      <c r="T107" s="109">
        <f t="shared" si="170"/>
        <v>3242.860734481173</v>
      </c>
    </row>
    <row r="108" spans="1:20" x14ac:dyDescent="0.25">
      <c r="A108" s="21" t="s">
        <v>231</v>
      </c>
      <c r="B108" s="33"/>
      <c r="C108" s="33"/>
      <c r="D108" s="38">
        <v>0.3</v>
      </c>
      <c r="E108" s="38">
        <v>0.3</v>
      </c>
      <c r="F108" s="89">
        <v>0.18</v>
      </c>
      <c r="G108" s="89">
        <v>0.18</v>
      </c>
      <c r="H108" s="128">
        <v>0.18</v>
      </c>
      <c r="I108" s="128">
        <v>0.18</v>
      </c>
      <c r="J108" s="128">
        <v>0.18</v>
      </c>
      <c r="K108" s="128">
        <v>0.18</v>
      </c>
      <c r="L108" s="128">
        <v>0.18</v>
      </c>
      <c r="M108" s="128">
        <v>0.18</v>
      </c>
      <c r="N108" s="128">
        <v>0.18</v>
      </c>
      <c r="O108" s="128">
        <v>0.18</v>
      </c>
      <c r="P108" s="128">
        <v>0.18</v>
      </c>
      <c r="Q108" s="128">
        <v>0.18</v>
      </c>
      <c r="R108" s="128">
        <v>0.18</v>
      </c>
      <c r="S108" s="128">
        <v>0.18</v>
      </c>
      <c r="T108" s="128">
        <v>0.18</v>
      </c>
    </row>
    <row r="109" spans="1:20" x14ac:dyDescent="0.25">
      <c r="A109" s="47" t="s">
        <v>232</v>
      </c>
      <c r="B109" s="33"/>
      <c r="C109" s="33"/>
      <c r="D109" s="25">
        <f t="shared" ref="D109:O109" si="171">D110-D107</f>
        <v>1656.4285714285716</v>
      </c>
      <c r="E109" s="25">
        <f t="shared" si="171"/>
        <v>1522.2857142857147</v>
      </c>
      <c r="F109" s="25">
        <f t="shared" si="171"/>
        <v>828.2863199323665</v>
      </c>
      <c r="G109" s="25">
        <f t="shared" si="171"/>
        <v>819.86624362380098</v>
      </c>
      <c r="H109" s="109">
        <f t="shared" si="171"/>
        <v>811.29056015552942</v>
      </c>
      <c r="I109" s="109">
        <f t="shared" si="171"/>
        <v>802.83590447814049</v>
      </c>
      <c r="J109" s="109">
        <f t="shared" si="171"/>
        <v>794.48498690722272</v>
      </c>
      <c r="K109" s="109">
        <f t="shared" si="171"/>
        <v>786.20322807395223</v>
      </c>
      <c r="L109" s="109">
        <f t="shared" si="171"/>
        <v>777.95604860950561</v>
      </c>
      <c r="M109" s="109">
        <f t="shared" si="171"/>
        <v>769.6397104074108</v>
      </c>
      <c r="N109" s="109">
        <f t="shared" si="171"/>
        <v>761.28879283649349</v>
      </c>
      <c r="O109" s="109">
        <f t="shared" si="171"/>
        <v>752.88600621234036</v>
      </c>
      <c r="P109" s="109">
        <f>P110-P107</f>
        <v>744.39677116612711</v>
      </c>
      <c r="Q109" s="109">
        <f>Q110-Q107</f>
        <v>736.11501233285662</v>
      </c>
      <c r="R109" s="109">
        <f t="shared" ref="R109:T109" si="172">R110-R107</f>
        <v>727.93029982101734</v>
      </c>
      <c r="S109" s="109">
        <f t="shared" si="172"/>
        <v>719.84149643394721</v>
      </c>
      <c r="T109" s="109">
        <f t="shared" si="172"/>
        <v>711.84747830074502</v>
      </c>
    </row>
    <row r="110" spans="1:20" x14ac:dyDescent="0.25">
      <c r="A110" s="93" t="s">
        <v>306</v>
      </c>
      <c r="B110" s="33"/>
      <c r="C110" s="33"/>
      <c r="D110" s="33">
        <f t="shared" ref="D110:O110" si="173">D107/(1-D108)*100/100</f>
        <v>5521.4285714285716</v>
      </c>
      <c r="E110" s="33">
        <f t="shared" si="173"/>
        <v>5074.2857142857147</v>
      </c>
      <c r="F110" s="33">
        <f t="shared" si="173"/>
        <v>4601.5906662909274</v>
      </c>
      <c r="G110" s="33">
        <f t="shared" si="173"/>
        <v>4554.8124645766757</v>
      </c>
      <c r="H110" s="114">
        <f t="shared" si="173"/>
        <v>4507.1697786418326</v>
      </c>
      <c r="I110" s="114">
        <f t="shared" si="173"/>
        <v>4460.1994693230054</v>
      </c>
      <c r="J110" s="114">
        <f t="shared" si="173"/>
        <v>4413.8054828179065</v>
      </c>
      <c r="K110" s="114">
        <f t="shared" si="173"/>
        <v>4367.7957115219597</v>
      </c>
      <c r="L110" s="114">
        <f t="shared" si="173"/>
        <v>4321.9780478305875</v>
      </c>
      <c r="M110" s="114">
        <f t="shared" si="173"/>
        <v>4275.7761689300632</v>
      </c>
      <c r="N110" s="114">
        <f t="shared" si="173"/>
        <v>4229.3821824249653</v>
      </c>
      <c r="O110" s="114">
        <f t="shared" si="173"/>
        <v>4182.7000345130018</v>
      </c>
      <c r="P110" s="114">
        <f>P107/(1-P108)*100/100</f>
        <v>4135.5376175895981</v>
      </c>
      <c r="Q110" s="114">
        <f>Q107/(1-Q108)*100/100</f>
        <v>4089.5278462936503</v>
      </c>
      <c r="R110" s="114">
        <f t="shared" ref="R110:T110" si="174">R107/(1-R108)*100/100</f>
        <v>4044.0572212278762</v>
      </c>
      <c r="S110" s="114">
        <f t="shared" si="174"/>
        <v>3999.1194246330388</v>
      </c>
      <c r="T110" s="114">
        <f t="shared" si="174"/>
        <v>3954.7082127819181</v>
      </c>
    </row>
    <row r="111" spans="1:20" x14ac:dyDescent="0.25">
      <c r="A111" s="48" t="s">
        <v>194</v>
      </c>
      <c r="B111" s="21">
        <v>0</v>
      </c>
      <c r="C111" s="36">
        <f>'Majapidamiste nõudlus asulates'!E156</f>
        <v>450</v>
      </c>
      <c r="D111" s="36">
        <f>'Majapidamiste nõudlus asulates'!F156</f>
        <v>468</v>
      </c>
      <c r="E111" s="36">
        <f>'Majapidamiste nõudlus asulates'!G156</f>
        <v>419</v>
      </c>
      <c r="F111" s="36">
        <f>'Majapidamiste nõudlus asulates'!H156</f>
        <v>581.38499999999999</v>
      </c>
      <c r="G111" s="36">
        <f>'Majapidamiste nõudlus asulates'!I156</f>
        <v>575.19342583480943</v>
      </c>
      <c r="H111" s="132">
        <f>'Majapidamiste nõudlus asulates'!J156</f>
        <v>568.88742832775699</v>
      </c>
      <c r="I111" s="132">
        <f>'Majapidamiste nõudlus asulates'!K156</f>
        <v>562.67042675326365</v>
      </c>
      <c r="J111" s="132">
        <f>'Majapidamiste nõudlus asulates'!L156</f>
        <v>556.52970740667831</v>
      </c>
      <c r="K111" s="132">
        <f>'Majapidamiste nõudlus asulates'!M156</f>
        <v>550.43984287869841</v>
      </c>
      <c r="L111" s="132">
        <f>'Majapidamiste nõudlus asulates'!N156</f>
        <v>544.37540576002095</v>
      </c>
      <c r="M111" s="132">
        <f>'Majapidamiste nõudlus asulates'!O156</f>
        <v>538.26011382273828</v>
      </c>
      <c r="N111" s="132">
        <f>'Majapidamiste nõudlus asulates'!P156</f>
        <v>532.11939447615282</v>
      </c>
      <c r="O111" s="132">
        <f>'Majapidamiste nõudlus asulates'!Q156</f>
        <v>525.94053401561348</v>
      </c>
      <c r="P111" s="132">
        <f>'Majapidamiste nõudlus asulates'!R156</f>
        <v>519.69810503181782</v>
      </c>
      <c r="Q111" s="132">
        <f>'Majapidamiste nõudlus asulates'!S156</f>
        <v>513.60824050383769</v>
      </c>
      <c r="R111" s="132">
        <f>'Majapidamiste nõudlus asulates'!T156</f>
        <v>507.58973750211698</v>
      </c>
      <c r="S111" s="132">
        <f>'Majapidamiste nõudlus asulates'!U156</f>
        <v>501.64175980650549</v>
      </c>
      <c r="T111" s="132">
        <f>'Majapidamiste nõudlus asulates'!V156</f>
        <v>495.76348099574847</v>
      </c>
    </row>
    <row r="112" spans="1:20" x14ac:dyDescent="0.25">
      <c r="A112" s="48" t="s">
        <v>195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3">
        <v>0</v>
      </c>
      <c r="I112" s="23">
        <v>0</v>
      </c>
      <c r="J112" s="23">
        <v>397</v>
      </c>
      <c r="K112" s="23">
        <v>744</v>
      </c>
      <c r="L112" s="23">
        <v>1042</v>
      </c>
      <c r="M112" s="23">
        <v>1042</v>
      </c>
      <c r="N112" s="23">
        <v>1042</v>
      </c>
      <c r="O112" s="23">
        <v>1042</v>
      </c>
      <c r="P112" s="23">
        <v>1042</v>
      </c>
      <c r="Q112" s="23">
        <v>1042</v>
      </c>
      <c r="R112" s="23">
        <v>1042</v>
      </c>
      <c r="S112" s="23">
        <v>1042</v>
      </c>
      <c r="T112" s="23">
        <v>1042</v>
      </c>
    </row>
    <row r="113" spans="1:20" x14ac:dyDescent="0.25">
      <c r="A113" s="52" t="s">
        <v>220</v>
      </c>
      <c r="B113" s="21">
        <v>0</v>
      </c>
      <c r="C113" s="36">
        <f>C111+C112</f>
        <v>450</v>
      </c>
      <c r="D113" s="36">
        <f t="shared" ref="D113:O113" si="175">D111+D112</f>
        <v>468</v>
      </c>
      <c r="E113" s="36">
        <f t="shared" si="175"/>
        <v>419</v>
      </c>
      <c r="F113" s="36">
        <f t="shared" si="175"/>
        <v>581.38499999999999</v>
      </c>
      <c r="G113" s="36">
        <f t="shared" si="175"/>
        <v>575.19342583480943</v>
      </c>
      <c r="H113" s="132">
        <f t="shared" si="175"/>
        <v>568.88742832775699</v>
      </c>
      <c r="I113" s="132">
        <f t="shared" si="175"/>
        <v>562.67042675326365</v>
      </c>
      <c r="J113" s="132">
        <f t="shared" si="175"/>
        <v>953.52970740667831</v>
      </c>
      <c r="K113" s="132">
        <f t="shared" si="175"/>
        <v>1294.4398428786985</v>
      </c>
      <c r="L113" s="132">
        <f t="shared" si="175"/>
        <v>1586.3754057600208</v>
      </c>
      <c r="M113" s="132">
        <f t="shared" si="175"/>
        <v>1580.2601138227383</v>
      </c>
      <c r="N113" s="132">
        <f t="shared" si="175"/>
        <v>1574.1193944761528</v>
      </c>
      <c r="O113" s="132">
        <f t="shared" si="175"/>
        <v>1567.9405340156136</v>
      </c>
      <c r="P113" s="132">
        <f>P111+P112</f>
        <v>1561.6981050318177</v>
      </c>
      <c r="Q113" s="132">
        <f>Q111+Q112</f>
        <v>1555.6082405038378</v>
      </c>
      <c r="R113" s="132">
        <f t="shared" ref="R113:T113" si="176">R111+R112</f>
        <v>1549.589737502117</v>
      </c>
      <c r="S113" s="132">
        <f t="shared" si="176"/>
        <v>1543.6417598065054</v>
      </c>
      <c r="T113" s="132">
        <f t="shared" si="176"/>
        <v>1537.7634809957485</v>
      </c>
    </row>
    <row r="114" spans="1:20" x14ac:dyDescent="0.25">
      <c r="A114" s="21" t="s">
        <v>231</v>
      </c>
      <c r="B114" s="29">
        <v>0.3</v>
      </c>
      <c r="C114" s="29">
        <v>0.3</v>
      </c>
      <c r="D114" s="29">
        <v>0.3</v>
      </c>
      <c r="E114" s="29">
        <v>0.3</v>
      </c>
      <c r="F114" s="29">
        <v>0.3</v>
      </c>
      <c r="G114" s="29">
        <v>0.3</v>
      </c>
      <c r="H114" s="111">
        <v>0.3</v>
      </c>
      <c r="I114" s="111">
        <v>0.3</v>
      </c>
      <c r="J114" s="111">
        <v>0.3</v>
      </c>
      <c r="K114" s="111">
        <v>0.3</v>
      </c>
      <c r="L114" s="111">
        <v>0.3</v>
      </c>
      <c r="M114" s="111">
        <v>0.3</v>
      </c>
      <c r="N114" s="111">
        <v>0.3</v>
      </c>
      <c r="O114" s="111">
        <v>0.3</v>
      </c>
      <c r="P114" s="111">
        <v>0.3</v>
      </c>
      <c r="Q114" s="111">
        <v>0.3</v>
      </c>
      <c r="R114" s="111">
        <v>0.3</v>
      </c>
      <c r="S114" s="111">
        <v>0.3</v>
      </c>
      <c r="T114" s="111">
        <v>0.3</v>
      </c>
    </row>
    <row r="115" spans="1:20" x14ac:dyDescent="0.25">
      <c r="A115" s="47" t="s">
        <v>232</v>
      </c>
      <c r="B115" s="21">
        <v>0</v>
      </c>
      <c r="C115" s="25">
        <f t="shared" ref="C115:O115" si="177">C116-C113</f>
        <v>192.85714285714289</v>
      </c>
      <c r="D115" s="25">
        <f t="shared" si="177"/>
        <v>200.57142857142867</v>
      </c>
      <c r="E115" s="25">
        <f t="shared" si="177"/>
        <v>179.57142857142856</v>
      </c>
      <c r="F115" s="25">
        <f t="shared" si="177"/>
        <v>249.16499999999996</v>
      </c>
      <c r="G115" s="25">
        <f t="shared" si="177"/>
        <v>246.51146821491841</v>
      </c>
      <c r="H115" s="109">
        <f t="shared" si="177"/>
        <v>243.8088978547529</v>
      </c>
      <c r="I115" s="109">
        <f t="shared" si="177"/>
        <v>241.14446860854162</v>
      </c>
      <c r="J115" s="109">
        <f t="shared" si="177"/>
        <v>408.65558888857674</v>
      </c>
      <c r="K115" s="109">
        <f t="shared" si="177"/>
        <v>554.75993266229966</v>
      </c>
      <c r="L115" s="109">
        <f t="shared" si="177"/>
        <v>679.87517389715185</v>
      </c>
      <c r="M115" s="109">
        <f t="shared" si="177"/>
        <v>677.25433449545926</v>
      </c>
      <c r="N115" s="109">
        <f t="shared" si="177"/>
        <v>674.62259763263705</v>
      </c>
      <c r="O115" s="109">
        <f t="shared" si="177"/>
        <v>671.97451457812031</v>
      </c>
      <c r="P115" s="109">
        <f>P116-P113</f>
        <v>669.29918787077895</v>
      </c>
      <c r="Q115" s="109">
        <f>Q116-Q113</f>
        <v>666.6892459302162</v>
      </c>
      <c r="R115" s="109">
        <f t="shared" ref="R115:T115" si="178">R116-R113</f>
        <v>664.10988750090723</v>
      </c>
      <c r="S115" s="109">
        <f t="shared" si="178"/>
        <v>661.5607542027883</v>
      </c>
      <c r="T115" s="109">
        <f t="shared" si="178"/>
        <v>659.04149185532106</v>
      </c>
    </row>
    <row r="116" spans="1:20" x14ac:dyDescent="0.25">
      <c r="A116" s="93" t="s">
        <v>307</v>
      </c>
      <c r="B116" s="26">
        <v>0</v>
      </c>
      <c r="C116" s="33">
        <f t="shared" ref="C116:O116" si="179">C113/(1-C114)*100/100</f>
        <v>642.85714285714289</v>
      </c>
      <c r="D116" s="33">
        <f t="shared" si="179"/>
        <v>668.57142857142867</v>
      </c>
      <c r="E116" s="33">
        <f t="shared" si="179"/>
        <v>598.57142857142856</v>
      </c>
      <c r="F116" s="33">
        <f t="shared" si="179"/>
        <v>830.55</v>
      </c>
      <c r="G116" s="33">
        <f t="shared" si="179"/>
        <v>821.70489404972784</v>
      </c>
      <c r="H116" s="114">
        <f t="shared" si="179"/>
        <v>812.69632618250989</v>
      </c>
      <c r="I116" s="114">
        <f t="shared" si="179"/>
        <v>803.81489536180527</v>
      </c>
      <c r="J116" s="114">
        <f t="shared" si="179"/>
        <v>1362.1852962952551</v>
      </c>
      <c r="K116" s="114">
        <f t="shared" si="179"/>
        <v>1849.1997755409982</v>
      </c>
      <c r="L116" s="114">
        <f t="shared" si="179"/>
        <v>2266.2505796571727</v>
      </c>
      <c r="M116" s="114">
        <f t="shared" si="179"/>
        <v>2257.5144483181975</v>
      </c>
      <c r="N116" s="114">
        <f t="shared" si="179"/>
        <v>2248.7419921087899</v>
      </c>
      <c r="O116" s="114">
        <f t="shared" si="179"/>
        <v>2239.9150485937339</v>
      </c>
      <c r="P116" s="114">
        <f>P113/(1-P114)*100/100</f>
        <v>2230.9972929025967</v>
      </c>
      <c r="Q116" s="114">
        <f>Q113/(1-Q114)*100/100</f>
        <v>2222.297486434054</v>
      </c>
      <c r="R116" s="114">
        <f t="shared" ref="R116:T116" si="180">R113/(1-R114)*100/100</f>
        <v>2213.6996250030243</v>
      </c>
      <c r="S116" s="114">
        <f t="shared" si="180"/>
        <v>2205.2025140092937</v>
      </c>
      <c r="T116" s="114">
        <f t="shared" si="180"/>
        <v>2196.8049728510696</v>
      </c>
    </row>
    <row r="117" spans="1:20" x14ac:dyDescent="0.25">
      <c r="A117" s="48" t="s">
        <v>196</v>
      </c>
      <c r="B117" s="21">
        <v>0</v>
      </c>
      <c r="C117" s="36">
        <f>'Majapidamiste nõudlus asulates'!E157</f>
        <v>490</v>
      </c>
      <c r="D117" s="36">
        <f>'Majapidamiste nõudlus asulates'!F157</f>
        <v>535</v>
      </c>
      <c r="E117" s="36">
        <f>'Majapidamiste nõudlus asulates'!G157</f>
        <v>670</v>
      </c>
      <c r="F117" s="36">
        <f>'Majapidamiste nõudlus asulates'!H157</f>
        <v>647.60487804878062</v>
      </c>
      <c r="G117" s="36">
        <f>'Majapidamiste nõudlus asulates'!I157</f>
        <v>640.70808223846871</v>
      </c>
      <c r="H117" s="132">
        <f>'Majapidamiste nõudlus asulates'!J157</f>
        <v>633.68383024275056</v>
      </c>
      <c r="I117" s="132">
        <f>'Majapidamiste nõudlus asulates'!K157</f>
        <v>626.75871083568165</v>
      </c>
      <c r="J117" s="132">
        <f>'Majapidamiste nõudlus asulates'!L157</f>
        <v>619.91856221888349</v>
      </c>
      <c r="K117" s="132">
        <f>'Majapidamiste nõudlus asulates'!M157</f>
        <v>613.13506079559932</v>
      </c>
      <c r="L117" s="132">
        <f>'Majapidamiste nõudlus asulates'!N157</f>
        <v>606.3798829690719</v>
      </c>
      <c r="M117" s="132">
        <f>'Majapidamiste nõudlus asulates'!O157</f>
        <v>599.5680579490305</v>
      </c>
      <c r="N117" s="132">
        <f>'Majapidamiste nõudlus asulates'!P157</f>
        <v>592.72790933223257</v>
      </c>
      <c r="O117" s="132">
        <f>'Majapidamiste nõudlus asulates'!Q157</f>
        <v>585.84527532029892</v>
      </c>
      <c r="P117" s="132">
        <f>'Majapidamiste nõudlus asulates'!R157</f>
        <v>578.89183231647326</v>
      </c>
      <c r="Q117" s="132">
        <f>'Majapidamiste nõudlus asulates'!S157</f>
        <v>572.10833089318896</v>
      </c>
      <c r="R117" s="132">
        <f>'Majapidamiste nõudlus asulates'!T157</f>
        <v>565.40431908953815</v>
      </c>
      <c r="S117" s="132">
        <f>'Majapidamiste nõudlus asulates'!U157</f>
        <v>558.77886543971329</v>
      </c>
      <c r="T117" s="132">
        <f>'Majapidamiste nõudlus asulates'!V157</f>
        <v>552.23104939289908</v>
      </c>
    </row>
    <row r="118" spans="1:20" x14ac:dyDescent="0.25">
      <c r="A118" s="48" t="s">
        <v>197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</row>
    <row r="119" spans="1:20" x14ac:dyDescent="0.25">
      <c r="A119" s="52" t="s">
        <v>221</v>
      </c>
      <c r="B119" s="21">
        <v>0</v>
      </c>
      <c r="C119" s="36">
        <f>C117+C118</f>
        <v>490</v>
      </c>
      <c r="D119" s="36">
        <f t="shared" ref="D119:O119" si="181">D117+D118</f>
        <v>535</v>
      </c>
      <c r="E119" s="36">
        <f t="shared" si="181"/>
        <v>670</v>
      </c>
      <c r="F119" s="36">
        <f t="shared" si="181"/>
        <v>647.60487804878062</v>
      </c>
      <c r="G119" s="36">
        <f t="shared" si="181"/>
        <v>640.70808223846871</v>
      </c>
      <c r="H119" s="132">
        <f t="shared" si="181"/>
        <v>633.68383024275056</v>
      </c>
      <c r="I119" s="132">
        <f t="shared" si="181"/>
        <v>626.75871083568165</v>
      </c>
      <c r="J119" s="132">
        <f t="shared" si="181"/>
        <v>619.91856221888349</v>
      </c>
      <c r="K119" s="132">
        <f t="shared" si="181"/>
        <v>613.13506079559932</v>
      </c>
      <c r="L119" s="132">
        <f t="shared" si="181"/>
        <v>606.3798829690719</v>
      </c>
      <c r="M119" s="132">
        <f t="shared" si="181"/>
        <v>599.5680579490305</v>
      </c>
      <c r="N119" s="132">
        <f t="shared" si="181"/>
        <v>592.72790933223257</v>
      </c>
      <c r="O119" s="132">
        <f t="shared" si="181"/>
        <v>585.84527532029892</v>
      </c>
      <c r="P119" s="132">
        <f>P117+P118</f>
        <v>578.89183231647326</v>
      </c>
      <c r="Q119" s="132">
        <f>Q117+Q118</f>
        <v>572.10833089318896</v>
      </c>
      <c r="R119" s="132">
        <f t="shared" ref="R119:T119" si="182">R117+R118</f>
        <v>565.40431908953815</v>
      </c>
      <c r="S119" s="132">
        <f t="shared" si="182"/>
        <v>558.77886543971329</v>
      </c>
      <c r="T119" s="132">
        <f t="shared" si="182"/>
        <v>552.23104939289908</v>
      </c>
    </row>
    <row r="120" spans="1:20" x14ac:dyDescent="0.25">
      <c r="A120" s="21" t="s">
        <v>231</v>
      </c>
      <c r="B120" s="38">
        <v>0.3</v>
      </c>
      <c r="C120" s="38">
        <v>0.3</v>
      </c>
      <c r="D120" s="38">
        <v>0.3</v>
      </c>
      <c r="E120" s="38">
        <v>0.3</v>
      </c>
      <c r="F120" s="38">
        <v>0.3</v>
      </c>
      <c r="G120" s="38">
        <v>0.3</v>
      </c>
      <c r="H120" s="128">
        <v>0.3</v>
      </c>
      <c r="I120" s="128">
        <v>0.3</v>
      </c>
      <c r="J120" s="128">
        <v>0.3</v>
      </c>
      <c r="K120" s="128">
        <v>0.3</v>
      </c>
      <c r="L120" s="128">
        <v>0.3</v>
      </c>
      <c r="M120" s="128">
        <v>0.3</v>
      </c>
      <c r="N120" s="128">
        <v>0.3</v>
      </c>
      <c r="O120" s="128">
        <v>0.3</v>
      </c>
      <c r="P120" s="128">
        <v>0.3</v>
      </c>
      <c r="Q120" s="128">
        <v>0.3</v>
      </c>
      <c r="R120" s="128">
        <v>0.3</v>
      </c>
      <c r="S120" s="128">
        <v>0.3</v>
      </c>
      <c r="T120" s="128">
        <v>0.3</v>
      </c>
    </row>
    <row r="121" spans="1:20" x14ac:dyDescent="0.25">
      <c r="A121" s="47" t="s">
        <v>232</v>
      </c>
      <c r="B121" s="21">
        <v>0</v>
      </c>
      <c r="C121" s="25">
        <f t="shared" ref="C121:O121" si="183">C122-C119</f>
        <v>210</v>
      </c>
      <c r="D121" s="25">
        <f t="shared" si="183"/>
        <v>229.28571428571433</v>
      </c>
      <c r="E121" s="25">
        <f t="shared" si="183"/>
        <v>287.14285714285722</v>
      </c>
      <c r="F121" s="25">
        <f t="shared" si="183"/>
        <v>277.54494773519173</v>
      </c>
      <c r="G121" s="25">
        <f t="shared" si="183"/>
        <v>274.58917810220089</v>
      </c>
      <c r="H121" s="109">
        <f t="shared" si="183"/>
        <v>271.57878438975035</v>
      </c>
      <c r="I121" s="109">
        <f t="shared" si="183"/>
        <v>268.61087607243508</v>
      </c>
      <c r="J121" s="109">
        <f t="shared" si="183"/>
        <v>265.67938380809312</v>
      </c>
      <c r="K121" s="109">
        <f t="shared" si="183"/>
        <v>262.77216891239971</v>
      </c>
      <c r="L121" s="109">
        <f t="shared" si="183"/>
        <v>259.87709270103085</v>
      </c>
      <c r="M121" s="109">
        <f t="shared" si="183"/>
        <v>256.95773912101311</v>
      </c>
      <c r="N121" s="109">
        <f t="shared" si="183"/>
        <v>254.02624685667115</v>
      </c>
      <c r="O121" s="109">
        <f t="shared" si="183"/>
        <v>251.07654656584248</v>
      </c>
      <c r="P121" s="109">
        <f>P122-P119</f>
        <v>248.09649956420287</v>
      </c>
      <c r="Q121" s="109">
        <f>Q122-Q119</f>
        <v>245.18928466850946</v>
      </c>
      <c r="R121" s="109">
        <f t="shared" ref="R121:T121" si="184">R122-R119</f>
        <v>242.3161367526593</v>
      </c>
      <c r="S121" s="109">
        <f t="shared" si="184"/>
        <v>239.47665661702001</v>
      </c>
      <c r="T121" s="109">
        <f t="shared" si="184"/>
        <v>236.67044973981399</v>
      </c>
    </row>
    <row r="122" spans="1:20" x14ac:dyDescent="0.25">
      <c r="A122" s="93" t="s">
        <v>308</v>
      </c>
      <c r="B122" s="26">
        <v>0</v>
      </c>
      <c r="C122" s="33">
        <f t="shared" ref="C122:O122" si="185">C119/(1-C120)*100/100</f>
        <v>700</v>
      </c>
      <c r="D122" s="33">
        <f t="shared" si="185"/>
        <v>764.28571428571433</v>
      </c>
      <c r="E122" s="33">
        <f t="shared" si="185"/>
        <v>957.14285714285722</v>
      </c>
      <c r="F122" s="33">
        <f t="shared" si="185"/>
        <v>925.14982578397235</v>
      </c>
      <c r="G122" s="33">
        <f t="shared" si="185"/>
        <v>915.2972603406696</v>
      </c>
      <c r="H122" s="114">
        <f t="shared" si="185"/>
        <v>905.26261463250091</v>
      </c>
      <c r="I122" s="114">
        <f t="shared" si="185"/>
        <v>895.36958690811673</v>
      </c>
      <c r="J122" s="114">
        <f t="shared" si="185"/>
        <v>885.59794602697662</v>
      </c>
      <c r="K122" s="114">
        <f t="shared" si="185"/>
        <v>875.90722970799902</v>
      </c>
      <c r="L122" s="114">
        <f t="shared" si="185"/>
        <v>866.25697567010275</v>
      </c>
      <c r="M122" s="114">
        <f t="shared" si="185"/>
        <v>856.52579707004361</v>
      </c>
      <c r="N122" s="114">
        <f t="shared" si="185"/>
        <v>846.75415618890372</v>
      </c>
      <c r="O122" s="114">
        <f t="shared" si="185"/>
        <v>836.9218218861414</v>
      </c>
      <c r="P122" s="114">
        <f>P119/(1-P120)*100/100</f>
        <v>826.98833188067613</v>
      </c>
      <c r="Q122" s="114">
        <f>Q119/(1-Q120)*100/100</f>
        <v>817.29761556169842</v>
      </c>
      <c r="R122" s="114">
        <f t="shared" ref="R122:T122" si="186">R119/(1-R120)*100/100</f>
        <v>807.72045584219745</v>
      </c>
      <c r="S122" s="114">
        <f t="shared" si="186"/>
        <v>798.2555220567333</v>
      </c>
      <c r="T122" s="114">
        <f t="shared" si="186"/>
        <v>788.90149913271307</v>
      </c>
    </row>
    <row r="123" spans="1:20" x14ac:dyDescent="0.25">
      <c r="A123" s="48" t="s">
        <v>201</v>
      </c>
      <c r="B123" s="21">
        <v>0</v>
      </c>
      <c r="C123" s="21">
        <f>'Majapidamiste nõudlus asulates'!E158</f>
        <v>660</v>
      </c>
      <c r="D123" s="25">
        <f>'Majapidamiste nõudlus asulates'!F158</f>
        <v>734</v>
      </c>
      <c r="E123" s="25">
        <f>'Majapidamiste nõudlus asulates'!G158</f>
        <v>636</v>
      </c>
      <c r="F123" s="25">
        <f>'Majapidamiste nõudlus asulates'!H158</f>
        <v>586.39607944956538</v>
      </c>
      <c r="G123" s="25">
        <f>'Majapidamiste nõudlus asulates'!I158</f>
        <v>580.1511388059489</v>
      </c>
      <c r="H123" s="109">
        <f>'Majapidamiste nõudlus asulates'!J158</f>
        <v>573.79078858164962</v>
      </c>
      <c r="I123" s="109">
        <f>'Majapidamiste nõudlus asulates'!K158</f>
        <v>567.52020136454792</v>
      </c>
      <c r="J123" s="109">
        <f>'Majapidamiste nõudlus asulates'!L158</f>
        <v>561.32655386790145</v>
      </c>
      <c r="K123" s="109">
        <f>'Majapidamiste nõudlus asulates'!M158</f>
        <v>555.18419951822534</v>
      </c>
      <c r="L123" s="109">
        <f>'Majapidamiste nõudlus asulates'!N158</f>
        <v>549.06749174203435</v>
      </c>
      <c r="M123" s="109">
        <f>'Majapidamiste nõudlus asulates'!O158</f>
        <v>542.89949081887301</v>
      </c>
      <c r="N123" s="109">
        <f>'Majapidamiste nõudlus asulates'!P158</f>
        <v>536.70584332222654</v>
      </c>
      <c r="O123" s="109">
        <f>'Majapidamiste nõudlus asulates'!Q158</f>
        <v>530.47372596535263</v>
      </c>
      <c r="P123" s="109">
        <f>'Majapidamiste nõudlus asulates'!R158</f>
        <v>524.17749217476603</v>
      </c>
      <c r="Q123" s="109">
        <f>'Majapidamiste nõudlus asulates'!S158</f>
        <v>518.03513782508992</v>
      </c>
      <c r="R123" s="109">
        <f>'Majapidamiste nõudlus asulates'!T158</f>
        <v>511.96476008165916</v>
      </c>
      <c r="S123" s="109">
        <f>'Majapidamiste nõudlus asulates'!U158</f>
        <v>505.96551551676663</v>
      </c>
      <c r="T123" s="109">
        <f>'Majapidamiste nõudlus asulates'!V158</f>
        <v>500.03657058605904</v>
      </c>
    </row>
    <row r="124" spans="1:20" x14ac:dyDescent="0.25">
      <c r="A124" s="48" t="s">
        <v>200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</row>
    <row r="125" spans="1:20" x14ac:dyDescent="0.25">
      <c r="A125" s="52" t="s">
        <v>222</v>
      </c>
      <c r="B125" s="21">
        <v>0</v>
      </c>
      <c r="C125" s="36">
        <f>C123+C124</f>
        <v>660</v>
      </c>
      <c r="D125" s="36">
        <f t="shared" ref="D125:O125" si="187">D123+D124</f>
        <v>734</v>
      </c>
      <c r="E125" s="36">
        <f t="shared" si="187"/>
        <v>636</v>
      </c>
      <c r="F125" s="36">
        <f t="shared" si="187"/>
        <v>586.39607944956538</v>
      </c>
      <c r="G125" s="36">
        <f t="shared" si="187"/>
        <v>580.1511388059489</v>
      </c>
      <c r="H125" s="132">
        <f t="shared" si="187"/>
        <v>573.79078858164962</v>
      </c>
      <c r="I125" s="132">
        <f t="shared" si="187"/>
        <v>567.52020136454792</v>
      </c>
      <c r="J125" s="132">
        <f t="shared" si="187"/>
        <v>561.32655386790145</v>
      </c>
      <c r="K125" s="132">
        <f t="shared" si="187"/>
        <v>555.18419951822534</v>
      </c>
      <c r="L125" s="132">
        <f t="shared" si="187"/>
        <v>549.06749174203435</v>
      </c>
      <c r="M125" s="132">
        <f t="shared" si="187"/>
        <v>542.89949081887301</v>
      </c>
      <c r="N125" s="132">
        <f t="shared" si="187"/>
        <v>536.70584332222654</v>
      </c>
      <c r="O125" s="132">
        <f t="shared" si="187"/>
        <v>530.47372596535263</v>
      </c>
      <c r="P125" s="132">
        <f>P123+P124</f>
        <v>524.17749217476603</v>
      </c>
      <c r="Q125" s="132">
        <f>Q123+Q124</f>
        <v>518.03513782508992</v>
      </c>
      <c r="R125" s="132">
        <f t="shared" ref="R125:T125" si="188">R123+R124</f>
        <v>511.96476008165916</v>
      </c>
      <c r="S125" s="132">
        <f t="shared" si="188"/>
        <v>505.96551551676663</v>
      </c>
      <c r="T125" s="132">
        <f t="shared" si="188"/>
        <v>500.03657058605904</v>
      </c>
    </row>
    <row r="126" spans="1:20" x14ac:dyDescent="0.25">
      <c r="A126" s="21" t="s">
        <v>231</v>
      </c>
      <c r="B126" s="38">
        <v>0.3</v>
      </c>
      <c r="C126" s="38">
        <v>0.3</v>
      </c>
      <c r="D126" s="38">
        <v>0.3</v>
      </c>
      <c r="E126" s="38">
        <v>0.3</v>
      </c>
      <c r="F126" s="38">
        <v>0.3</v>
      </c>
      <c r="G126" s="38">
        <v>0.3</v>
      </c>
      <c r="H126" s="128">
        <v>0.3</v>
      </c>
      <c r="I126" s="128">
        <v>0.3</v>
      </c>
      <c r="J126" s="128">
        <v>0.3</v>
      </c>
      <c r="K126" s="128">
        <v>0.3</v>
      </c>
      <c r="L126" s="128">
        <v>0.3</v>
      </c>
      <c r="M126" s="128">
        <v>0.3</v>
      </c>
      <c r="N126" s="128">
        <v>0.3</v>
      </c>
      <c r="O126" s="128">
        <v>0.3</v>
      </c>
      <c r="P126" s="128">
        <v>0.3</v>
      </c>
      <c r="Q126" s="128">
        <v>0.3</v>
      </c>
      <c r="R126" s="128">
        <v>0.3</v>
      </c>
      <c r="S126" s="128">
        <v>0.3</v>
      </c>
      <c r="T126" s="128">
        <v>0.3</v>
      </c>
    </row>
    <row r="127" spans="1:20" x14ac:dyDescent="0.25">
      <c r="A127" s="95" t="s">
        <v>232</v>
      </c>
      <c r="B127" s="21">
        <v>0</v>
      </c>
      <c r="C127" s="25">
        <f t="shared" ref="C127:O127" si="189">C128-C125</f>
        <v>282.85714285714289</v>
      </c>
      <c r="D127" s="25">
        <f t="shared" si="189"/>
        <v>314.57142857142867</v>
      </c>
      <c r="E127" s="25">
        <f t="shared" si="189"/>
        <v>272.57142857142867</v>
      </c>
      <c r="F127" s="25">
        <f t="shared" si="189"/>
        <v>251.31260547838519</v>
      </c>
      <c r="G127" s="25">
        <f t="shared" si="189"/>
        <v>248.63620234540679</v>
      </c>
      <c r="H127" s="25">
        <f t="shared" si="189"/>
        <v>245.91033796356419</v>
      </c>
      <c r="I127" s="25">
        <f t="shared" si="189"/>
        <v>243.22294344194904</v>
      </c>
      <c r="J127" s="25">
        <f t="shared" si="189"/>
        <v>240.56852308624354</v>
      </c>
      <c r="K127" s="25">
        <f t="shared" si="189"/>
        <v>237.93608550781096</v>
      </c>
      <c r="L127" s="25">
        <f t="shared" si="189"/>
        <v>235.31463931801477</v>
      </c>
      <c r="M127" s="25">
        <f t="shared" si="189"/>
        <v>232.67121035094567</v>
      </c>
      <c r="N127" s="25">
        <f t="shared" si="189"/>
        <v>230.01678999523995</v>
      </c>
      <c r="O127" s="25">
        <f t="shared" si="189"/>
        <v>227.3458825565798</v>
      </c>
      <c r="P127" s="25">
        <f>P128-P125</f>
        <v>224.64749664632836</v>
      </c>
      <c r="Q127" s="25">
        <f>Q128-Q125</f>
        <v>222.01505906789578</v>
      </c>
      <c r="R127" s="25">
        <f t="shared" ref="R127:T127" si="190">R128-R125</f>
        <v>219.41346860642545</v>
      </c>
      <c r="S127" s="25">
        <f t="shared" si="190"/>
        <v>216.84236379290002</v>
      </c>
      <c r="T127" s="25">
        <f t="shared" si="190"/>
        <v>214.30138739402537</v>
      </c>
    </row>
    <row r="128" spans="1:20" x14ac:dyDescent="0.25">
      <c r="A128" s="93" t="s">
        <v>309</v>
      </c>
      <c r="B128" s="26">
        <v>0</v>
      </c>
      <c r="C128" s="33">
        <f t="shared" ref="C128:O128" si="191">C125/(1-C126)*100/100</f>
        <v>942.85714285714289</v>
      </c>
      <c r="D128" s="33">
        <f t="shared" si="191"/>
        <v>1048.5714285714287</v>
      </c>
      <c r="E128" s="33">
        <f t="shared" si="191"/>
        <v>908.57142857142867</v>
      </c>
      <c r="F128" s="33">
        <f t="shared" si="191"/>
        <v>837.70868492795057</v>
      </c>
      <c r="G128" s="33">
        <f t="shared" si="191"/>
        <v>828.78734115135569</v>
      </c>
      <c r="H128" s="33">
        <f t="shared" si="191"/>
        <v>819.70112654521381</v>
      </c>
      <c r="I128" s="33">
        <f t="shared" si="191"/>
        <v>810.74314480649696</v>
      </c>
      <c r="J128" s="33">
        <f t="shared" si="191"/>
        <v>801.895076954145</v>
      </c>
      <c r="K128" s="33">
        <f t="shared" si="191"/>
        <v>793.1202850260363</v>
      </c>
      <c r="L128" s="33">
        <f t="shared" si="191"/>
        <v>784.38213106004912</v>
      </c>
      <c r="M128" s="33">
        <f t="shared" si="191"/>
        <v>775.57070116981868</v>
      </c>
      <c r="N128" s="33">
        <f t="shared" si="191"/>
        <v>766.72263331746649</v>
      </c>
      <c r="O128" s="33">
        <f t="shared" si="191"/>
        <v>757.81960852193242</v>
      </c>
      <c r="P128" s="33">
        <f>P125/(1-P126)*100/100</f>
        <v>748.82498882109439</v>
      </c>
      <c r="Q128" s="33">
        <f>Q125/(1-Q126)*100/100</f>
        <v>740.0501968929857</v>
      </c>
      <c r="R128" s="33">
        <f t="shared" ref="R128:T128" si="192">R125/(1-R126)*100/100</f>
        <v>731.37822868808462</v>
      </c>
      <c r="S128" s="33">
        <f t="shared" si="192"/>
        <v>722.80787930966665</v>
      </c>
      <c r="T128" s="33">
        <f t="shared" si="192"/>
        <v>714.33795798008441</v>
      </c>
    </row>
    <row r="129" spans="1:20" x14ac:dyDescent="0.25">
      <c r="A129" s="48" t="s">
        <v>199</v>
      </c>
      <c r="B129" s="21">
        <v>0</v>
      </c>
      <c r="C129" s="21">
        <f>'Majapidamiste nõudlus asulates'!E153</f>
        <v>0</v>
      </c>
      <c r="D129" s="25">
        <f>'Majapidamiste nõudlus asulates'!F159</f>
        <v>500</v>
      </c>
      <c r="E129" s="25">
        <f>'Majapidamiste nõudlus asulates'!G159</f>
        <v>484</v>
      </c>
      <c r="F129" s="25">
        <f>'Majapidamiste nõudlus asulates'!H159</f>
        <v>518.70328118914699</v>
      </c>
      <c r="G129" s="25">
        <f>'Majapidamiste nõudlus asulates'!I159</f>
        <v>513.17924834480061</v>
      </c>
      <c r="H129" s="25">
        <f>'Majapidamiste nõudlus asulates'!J159</f>
        <v>507.55312865117475</v>
      </c>
      <c r="I129" s="25">
        <f>'Majapidamiste nõudlus asulates'!K159</f>
        <v>502.00640984032185</v>
      </c>
      <c r="J129" s="25">
        <f>'Majapidamiste nõudlus asulates'!L159</f>
        <v>496.52774892898867</v>
      </c>
      <c r="K129" s="25">
        <f>'Majapidamiste nõudlus asulates'!M159</f>
        <v>491.09445995066852</v>
      </c>
      <c r="L129" s="25">
        <f>'Majapidamiste nõudlus asulates'!N159</f>
        <v>485.68385693885483</v>
      </c>
      <c r="M129" s="25">
        <f>'Majapidamiste nõudlus asulates'!O159</f>
        <v>480.22788199402811</v>
      </c>
      <c r="N129" s="25">
        <f>'Majapidamiste nõudlus asulates'!P159</f>
        <v>474.74922108269493</v>
      </c>
      <c r="O129" s="25">
        <f>'Majapidamiste nõudlus asulates'!Q159</f>
        <v>469.23653122160181</v>
      </c>
      <c r="P129" s="25">
        <f>'Majapidamiste nõudlus asulates'!R159</f>
        <v>463.66712644424246</v>
      </c>
      <c r="Q129" s="25">
        <f>'Majapidamiste nõudlus asulates'!S159</f>
        <v>458.23383746592225</v>
      </c>
      <c r="R129" s="25">
        <f>'Majapidamiste nõudlus asulates'!T159</f>
        <v>452.86421620834034</v>
      </c>
      <c r="S129" s="25">
        <f>'Majapidamiste nõudlus asulates'!U159</f>
        <v>447.55751660798319</v>
      </c>
      <c r="T129" s="25">
        <f>'Majapidamiste nõudlus asulates'!V159</f>
        <v>442.31300134377057</v>
      </c>
    </row>
    <row r="130" spans="1:20" x14ac:dyDescent="0.25">
      <c r="A130" s="48" t="s">
        <v>198</v>
      </c>
      <c r="B130" s="21">
        <v>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</row>
    <row r="131" spans="1:20" x14ac:dyDescent="0.25">
      <c r="A131" s="52" t="s">
        <v>223</v>
      </c>
      <c r="B131" s="21">
        <v>0</v>
      </c>
      <c r="C131" s="36">
        <f>C129+C130</f>
        <v>0</v>
      </c>
      <c r="D131" s="36">
        <f t="shared" ref="D131:O131" si="193">D129+D130</f>
        <v>500</v>
      </c>
      <c r="E131" s="36">
        <f t="shared" si="193"/>
        <v>484</v>
      </c>
      <c r="F131" s="36">
        <f t="shared" si="193"/>
        <v>518.70328118914699</v>
      </c>
      <c r="G131" s="36">
        <f t="shared" si="193"/>
        <v>513.17924834480061</v>
      </c>
      <c r="H131" s="36">
        <f t="shared" si="193"/>
        <v>507.55312865117475</v>
      </c>
      <c r="I131" s="36">
        <f t="shared" si="193"/>
        <v>502.00640984032185</v>
      </c>
      <c r="J131" s="36">
        <f t="shared" si="193"/>
        <v>496.52774892898867</v>
      </c>
      <c r="K131" s="36">
        <f t="shared" si="193"/>
        <v>491.09445995066852</v>
      </c>
      <c r="L131" s="36">
        <f t="shared" si="193"/>
        <v>485.68385693885483</v>
      </c>
      <c r="M131" s="36">
        <f t="shared" si="193"/>
        <v>480.22788199402811</v>
      </c>
      <c r="N131" s="36">
        <f t="shared" si="193"/>
        <v>474.74922108269493</v>
      </c>
      <c r="O131" s="36">
        <f t="shared" si="193"/>
        <v>469.23653122160181</v>
      </c>
      <c r="P131" s="36">
        <f>P129+P130</f>
        <v>463.66712644424246</v>
      </c>
      <c r="Q131" s="36">
        <f>Q129+Q130</f>
        <v>458.23383746592225</v>
      </c>
      <c r="R131" s="36">
        <f t="shared" ref="R131:T131" si="194">R129+R130</f>
        <v>452.86421620834034</v>
      </c>
      <c r="S131" s="36">
        <f t="shared" si="194"/>
        <v>447.55751660798319</v>
      </c>
      <c r="T131" s="36">
        <f t="shared" si="194"/>
        <v>442.31300134377057</v>
      </c>
    </row>
    <row r="132" spans="1:20" x14ac:dyDescent="0.25">
      <c r="A132" s="21" t="s">
        <v>231</v>
      </c>
      <c r="B132" s="38">
        <v>0.3</v>
      </c>
      <c r="C132" s="38">
        <v>0.3</v>
      </c>
      <c r="D132" s="38">
        <v>0.3</v>
      </c>
      <c r="E132" s="38">
        <v>0.3</v>
      </c>
      <c r="F132" s="38">
        <v>0.3</v>
      </c>
      <c r="G132" s="38">
        <v>0.3</v>
      </c>
      <c r="H132" s="38">
        <v>0.3</v>
      </c>
      <c r="I132" s="38">
        <v>0.3</v>
      </c>
      <c r="J132" s="38">
        <v>0.3</v>
      </c>
      <c r="K132" s="38">
        <v>0.3</v>
      </c>
      <c r="L132" s="38">
        <v>0.3</v>
      </c>
      <c r="M132" s="38">
        <v>0.3</v>
      </c>
      <c r="N132" s="38">
        <v>0.3</v>
      </c>
      <c r="O132" s="38">
        <v>0.3</v>
      </c>
      <c r="P132" s="38">
        <v>0.3</v>
      </c>
      <c r="Q132" s="38">
        <v>0.3</v>
      </c>
      <c r="R132" s="38">
        <v>0.3</v>
      </c>
      <c r="S132" s="38">
        <v>0.3</v>
      </c>
      <c r="T132" s="38">
        <v>0.3</v>
      </c>
    </row>
    <row r="133" spans="1:20" x14ac:dyDescent="0.25">
      <c r="A133" s="47" t="s">
        <v>232</v>
      </c>
      <c r="B133" s="21">
        <v>0</v>
      </c>
      <c r="C133" s="25">
        <f t="shared" ref="C133:O133" si="195">C134-C131</f>
        <v>0</v>
      </c>
      <c r="D133" s="25">
        <f t="shared" si="195"/>
        <v>214.28571428571433</v>
      </c>
      <c r="E133" s="25">
        <f t="shared" si="195"/>
        <v>207.42857142857144</v>
      </c>
      <c r="F133" s="25">
        <f t="shared" si="195"/>
        <v>222.30140622392014</v>
      </c>
      <c r="G133" s="25">
        <f t="shared" si="195"/>
        <v>219.93396357634322</v>
      </c>
      <c r="H133" s="25">
        <f t="shared" si="195"/>
        <v>217.52276942193208</v>
      </c>
      <c r="I133" s="25">
        <f t="shared" si="195"/>
        <v>215.14560421728089</v>
      </c>
      <c r="J133" s="25">
        <f t="shared" si="195"/>
        <v>212.79760668385222</v>
      </c>
      <c r="K133" s="25">
        <f t="shared" si="195"/>
        <v>210.46905426457232</v>
      </c>
      <c r="L133" s="25">
        <f t="shared" si="195"/>
        <v>208.15022440236629</v>
      </c>
      <c r="M133" s="25">
        <f t="shared" si="195"/>
        <v>205.81194942601206</v>
      </c>
      <c r="N133" s="25">
        <f t="shared" si="195"/>
        <v>203.46395189258362</v>
      </c>
      <c r="O133" s="25">
        <f t="shared" si="195"/>
        <v>201.10137052354366</v>
      </c>
      <c r="P133" s="25">
        <f>P134-P131</f>
        <v>198.71448276181826</v>
      </c>
      <c r="Q133" s="25">
        <f>Q134-Q131</f>
        <v>196.38593034253819</v>
      </c>
      <c r="R133" s="25">
        <f t="shared" ref="R133:T133" si="196">R134-R131</f>
        <v>194.08466408928876</v>
      </c>
      <c r="S133" s="25">
        <f t="shared" si="196"/>
        <v>191.81036426056426</v>
      </c>
      <c r="T133" s="25">
        <f t="shared" si="196"/>
        <v>189.56271486161597</v>
      </c>
    </row>
    <row r="134" spans="1:20" x14ac:dyDescent="0.25">
      <c r="A134" s="93" t="s">
        <v>310</v>
      </c>
      <c r="B134" s="26">
        <v>0</v>
      </c>
      <c r="C134" s="33">
        <f t="shared" ref="C134:O134" si="197">C131/(1-C132)*100/100</f>
        <v>0</v>
      </c>
      <c r="D134" s="33">
        <f t="shared" si="197"/>
        <v>714.28571428571433</v>
      </c>
      <c r="E134" s="33">
        <f t="shared" si="197"/>
        <v>691.42857142857144</v>
      </c>
      <c r="F134" s="33">
        <f t="shared" si="197"/>
        <v>741.00468741306713</v>
      </c>
      <c r="G134" s="33">
        <f t="shared" si="197"/>
        <v>733.11321192114383</v>
      </c>
      <c r="H134" s="33">
        <f t="shared" si="197"/>
        <v>725.07589807310683</v>
      </c>
      <c r="I134" s="33">
        <f t="shared" si="197"/>
        <v>717.15201405760274</v>
      </c>
      <c r="J134" s="33">
        <f t="shared" si="197"/>
        <v>709.32535561284089</v>
      </c>
      <c r="K134" s="33">
        <f t="shared" si="197"/>
        <v>701.56351421524084</v>
      </c>
      <c r="L134" s="33">
        <f t="shared" si="197"/>
        <v>693.83408134122112</v>
      </c>
      <c r="M134" s="33">
        <f t="shared" si="197"/>
        <v>686.03983142004017</v>
      </c>
      <c r="N134" s="33">
        <f t="shared" si="197"/>
        <v>678.21317297527855</v>
      </c>
      <c r="O134" s="33">
        <f t="shared" si="197"/>
        <v>670.33790174514547</v>
      </c>
      <c r="P134" s="33">
        <f>P131/(1-P132)*100/100</f>
        <v>662.38160920606072</v>
      </c>
      <c r="Q134" s="33">
        <f>Q131/(1-Q132)*100/100</f>
        <v>654.61976780846044</v>
      </c>
      <c r="R134" s="33">
        <f t="shared" ref="R134:T134" si="198">R131/(1-R132)*100/100</f>
        <v>646.9488802976291</v>
      </c>
      <c r="S134" s="33">
        <f t="shared" si="198"/>
        <v>639.36788086854745</v>
      </c>
      <c r="T134" s="33">
        <f t="shared" si="198"/>
        <v>631.87571620538654</v>
      </c>
    </row>
    <row r="135" spans="1:20" x14ac:dyDescent="0.25">
      <c r="A135" s="104" t="s">
        <v>315</v>
      </c>
      <c r="B135" s="21">
        <v>0</v>
      </c>
      <c r="C135" s="21">
        <f>'Majapidamiste nõudlus asulates'!E159</f>
        <v>420</v>
      </c>
      <c r="D135" s="25">
        <f>'Majapidamiste nõudlus asulates'!F141</f>
        <v>0</v>
      </c>
      <c r="E135" s="25">
        <f>'Majapidamiste nõudlus asulates'!G141</f>
        <v>0</v>
      </c>
      <c r="F135" s="25">
        <f>'Majapidamiste nõudlus asulates'!H141</f>
        <v>0</v>
      </c>
      <c r="G135" s="25">
        <f>'Majapidamiste nõudlus asulates'!I141</f>
        <v>0</v>
      </c>
      <c r="H135" s="25">
        <f>'Majapidamiste nõudlus asulates'!J141</f>
        <v>0</v>
      </c>
      <c r="I135" s="25">
        <f>'Majapidamiste nõudlus asulates'!K141</f>
        <v>0</v>
      </c>
      <c r="J135" s="25">
        <f>'Majapidamiste nõudlus asulates'!L141</f>
        <v>0</v>
      </c>
      <c r="K135" s="25">
        <f>'Majapidamiste nõudlus asulates'!M141</f>
        <v>1057.45119071049</v>
      </c>
      <c r="L135" s="25">
        <f>'Majapidamiste nõudlus asulates'!N141</f>
        <v>2091.6015744932097</v>
      </c>
      <c r="M135" s="25">
        <f>'Majapidamiste nõudlus asulates'!O141</f>
        <v>3102.1580594371176</v>
      </c>
      <c r="N135" s="25">
        <f>'Majapidamiste nõudlus asulates'!P141</f>
        <v>3066.7672111789011</v>
      </c>
      <c r="O135" s="25">
        <f>'Majapidamiste nõudlus asulates'!Q141</f>
        <v>3031.156543987403</v>
      </c>
      <c r="P135" s="25">
        <f>'Majapidamiste nõudlus asulates'!R141</f>
        <v>2995.1795119071044</v>
      </c>
      <c r="Q135" s="25">
        <f>'Majapidamiste nõudlus asulates'!S141</f>
        <v>2960.0817555599288</v>
      </c>
      <c r="R135" s="25">
        <f>'Majapidamiste nõudlus asulates'!T141</f>
        <v>2925.3952775670919</v>
      </c>
      <c r="S135" s="25">
        <f>'Majapidamiste nõudlus asulates'!U141</f>
        <v>2891.115258535493</v>
      </c>
      <c r="T135" s="25">
        <f>'Majapidamiste nõudlus asulates'!V141</f>
        <v>2857.2369355460746</v>
      </c>
    </row>
    <row r="136" spans="1:20" x14ac:dyDescent="0.25">
      <c r="A136" s="104" t="s">
        <v>316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</row>
    <row r="137" spans="1:20" x14ac:dyDescent="0.25">
      <c r="A137" s="52" t="s">
        <v>223</v>
      </c>
      <c r="B137" s="21">
        <v>0</v>
      </c>
      <c r="C137" s="36">
        <f>C135+C136</f>
        <v>420</v>
      </c>
      <c r="D137" s="36">
        <f t="shared" ref="D137:O137" si="199">D135+D136</f>
        <v>0</v>
      </c>
      <c r="E137" s="36">
        <f t="shared" si="199"/>
        <v>0</v>
      </c>
      <c r="F137" s="36">
        <f t="shared" si="199"/>
        <v>0</v>
      </c>
      <c r="G137" s="36">
        <f t="shared" si="199"/>
        <v>0</v>
      </c>
      <c r="H137" s="36">
        <f t="shared" si="199"/>
        <v>0</v>
      </c>
      <c r="I137" s="36">
        <f t="shared" si="199"/>
        <v>0</v>
      </c>
      <c r="J137" s="36">
        <f t="shared" si="199"/>
        <v>0</v>
      </c>
      <c r="K137" s="36">
        <f t="shared" si="199"/>
        <v>1057.45119071049</v>
      </c>
      <c r="L137" s="36">
        <f t="shared" si="199"/>
        <v>2091.6015744932097</v>
      </c>
      <c r="M137" s="36">
        <f t="shared" si="199"/>
        <v>3102.1580594371176</v>
      </c>
      <c r="N137" s="36">
        <f t="shared" si="199"/>
        <v>3066.7672111789011</v>
      </c>
      <c r="O137" s="36">
        <f t="shared" si="199"/>
        <v>3031.156543987403</v>
      </c>
      <c r="P137" s="36">
        <f>P135+P136</f>
        <v>2995.1795119071044</v>
      </c>
      <c r="Q137" s="36">
        <f>Q135+Q136</f>
        <v>2960.0817555599288</v>
      </c>
      <c r="R137" s="36">
        <f t="shared" ref="R137:T137" si="200">R135+R136</f>
        <v>2925.3952775670919</v>
      </c>
      <c r="S137" s="36">
        <f t="shared" si="200"/>
        <v>2891.115258535493</v>
      </c>
      <c r="T137" s="36">
        <f t="shared" si="200"/>
        <v>2857.2369355460746</v>
      </c>
    </row>
    <row r="138" spans="1:20" x14ac:dyDescent="0.25">
      <c r="A138" s="21" t="s">
        <v>231</v>
      </c>
      <c r="B138" s="38">
        <v>0.3</v>
      </c>
      <c r="C138" s="38">
        <v>0.3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f>K24</f>
        <v>7.5495000000000007E-2</v>
      </c>
      <c r="L138" s="38">
        <f t="shared" ref="L138:Q138" si="201">L24</f>
        <v>7.5495000000000007E-2</v>
      </c>
      <c r="M138" s="38">
        <f t="shared" si="201"/>
        <v>7.5495000000000007E-2</v>
      </c>
      <c r="N138" s="38">
        <f t="shared" si="201"/>
        <v>7.5495000000000007E-2</v>
      </c>
      <c r="O138" s="38">
        <f t="shared" si="201"/>
        <v>7.5495000000000007E-2</v>
      </c>
      <c r="P138" s="38">
        <f t="shared" si="201"/>
        <v>7.5495000000000007E-2</v>
      </c>
      <c r="Q138" s="38">
        <f t="shared" si="201"/>
        <v>7.5495000000000007E-2</v>
      </c>
      <c r="R138" s="38">
        <f t="shared" ref="R138:T138" si="202">R24</f>
        <v>7.5495000000000007E-2</v>
      </c>
      <c r="S138" s="38">
        <f t="shared" si="202"/>
        <v>7.5495000000000007E-2</v>
      </c>
      <c r="T138" s="38">
        <f t="shared" si="202"/>
        <v>7.5495000000000007E-2</v>
      </c>
    </row>
    <row r="139" spans="1:20" x14ac:dyDescent="0.25">
      <c r="A139" s="47" t="s">
        <v>232</v>
      </c>
      <c r="B139" s="21">
        <v>0</v>
      </c>
      <c r="C139" s="25">
        <f t="shared" ref="C139:O139" si="203">C140-C137</f>
        <v>180</v>
      </c>
      <c r="D139" s="25">
        <f t="shared" si="203"/>
        <v>0</v>
      </c>
      <c r="E139" s="25">
        <f t="shared" si="203"/>
        <v>0</v>
      </c>
      <c r="F139" s="25">
        <f t="shared" si="203"/>
        <v>0</v>
      </c>
      <c r="G139" s="25">
        <f t="shared" si="203"/>
        <v>0</v>
      </c>
      <c r="H139" s="25">
        <f t="shared" si="203"/>
        <v>0</v>
      </c>
      <c r="I139" s="25">
        <f t="shared" si="203"/>
        <v>0</v>
      </c>
      <c r="J139" s="25">
        <f t="shared" si="203"/>
        <v>0</v>
      </c>
      <c r="K139" s="25">
        <f t="shared" si="203"/>
        <v>86.35137467367781</v>
      </c>
      <c r="L139" s="25">
        <f t="shared" si="203"/>
        <v>170.80000742707171</v>
      </c>
      <c r="M139" s="25">
        <f t="shared" si="203"/>
        <v>253.32196439954896</v>
      </c>
      <c r="N139" s="25">
        <f t="shared" si="203"/>
        <v>250.4319507281748</v>
      </c>
      <c r="O139" s="25">
        <f t="shared" si="203"/>
        <v>247.52398666132558</v>
      </c>
      <c r="P139" s="25">
        <f>P140-P137</f>
        <v>244.58610526868642</v>
      </c>
      <c r="Q139" s="25">
        <f>Q140-Q137</f>
        <v>241.7200254579443</v>
      </c>
      <c r="R139" s="25">
        <f t="shared" ref="R139:T139" si="204">R140-R137</f>
        <v>238.88753060278486</v>
      </c>
      <c r="S139" s="25">
        <f t="shared" si="204"/>
        <v>236.08822715197539</v>
      </c>
      <c r="T139" s="25">
        <f t="shared" si="204"/>
        <v>233.32172616594926</v>
      </c>
    </row>
    <row r="140" spans="1:20" x14ac:dyDescent="0.25">
      <c r="A140" s="93" t="s">
        <v>319</v>
      </c>
      <c r="B140" s="26">
        <v>0</v>
      </c>
      <c r="C140" s="33">
        <f t="shared" ref="C140:O140" si="205">C137/(1-C138)*100/100</f>
        <v>600</v>
      </c>
      <c r="D140" s="33">
        <f t="shared" si="205"/>
        <v>0</v>
      </c>
      <c r="E140" s="33">
        <f t="shared" si="205"/>
        <v>0</v>
      </c>
      <c r="F140" s="33">
        <f t="shared" si="205"/>
        <v>0</v>
      </c>
      <c r="G140" s="33">
        <f t="shared" si="205"/>
        <v>0</v>
      </c>
      <c r="H140" s="33">
        <f t="shared" si="205"/>
        <v>0</v>
      </c>
      <c r="I140" s="33">
        <f t="shared" si="205"/>
        <v>0</v>
      </c>
      <c r="J140" s="33">
        <f t="shared" si="205"/>
        <v>0</v>
      </c>
      <c r="K140" s="33">
        <f t="shared" si="205"/>
        <v>1143.8025653841678</v>
      </c>
      <c r="L140" s="33">
        <f t="shared" si="205"/>
        <v>2262.4015819202814</v>
      </c>
      <c r="M140" s="33">
        <f t="shared" si="205"/>
        <v>3355.4800238366665</v>
      </c>
      <c r="N140" s="33">
        <f t="shared" si="205"/>
        <v>3317.1991619070759</v>
      </c>
      <c r="O140" s="33">
        <f t="shared" si="205"/>
        <v>3278.6805306487286</v>
      </c>
      <c r="P140" s="33">
        <f>P137/(1-P138)*100/100</f>
        <v>3239.7656171757908</v>
      </c>
      <c r="Q140" s="33">
        <f>Q137/(1-Q138)*100/100</f>
        <v>3201.8017810178731</v>
      </c>
      <c r="R140" s="33">
        <f t="shared" ref="R140:T140" si="206">R137/(1-R138)*100/100</f>
        <v>3164.2828081698767</v>
      </c>
      <c r="S140" s="33">
        <f t="shared" si="206"/>
        <v>3127.2034856874684</v>
      </c>
      <c r="T140" s="33">
        <f t="shared" si="206"/>
        <v>3090.5586617120239</v>
      </c>
    </row>
    <row r="141" spans="1:20" ht="10.5" customHeight="1" x14ac:dyDescent="0.25"/>
    <row r="142" spans="1:20" ht="14.25" customHeight="1" x14ac:dyDescent="0.25">
      <c r="A142" s="26" t="s">
        <v>233</v>
      </c>
      <c r="B142" s="25">
        <f t="shared" ref="B142:C142" si="207">B3+B9+B15+B21+B27+B33+B39+B45+B51+B57+B63+B69+B75+B81+B111+B117+B123+B135</f>
        <v>50160</v>
      </c>
      <c r="C142" s="25">
        <f t="shared" si="207"/>
        <v>56535.025480782344</v>
      </c>
      <c r="D142" s="45">
        <f>D3+D9+D15+D21+D27+D33+D39+D45+D51+D57+D63+D69+D75+D81+D87+D93+D99+D105+D111+D117+D123+D129+D135</f>
        <v>77931</v>
      </c>
      <c r="E142" s="45">
        <f t="shared" ref="E142:Q142" si="208">E3+E9+E15+E21+E27+E33+E39+E45+E51+E57+E63+E69+E75+E81+E87+E93+E99+E105+E111+E117+E123+E129+E135</f>
        <v>77259</v>
      </c>
      <c r="F142" s="25">
        <f t="shared" si="208"/>
        <v>80471.314062509613</v>
      </c>
      <c r="G142" s="25">
        <f>G3+G9+G15+G21+G27+G33+G39+G45+G51+G57+G63+G69+G75+G81+G87+G93+G99+G105+G111+G117+G123+G129+G135</f>
        <v>79943.570163960831</v>
      </c>
      <c r="H142" s="25">
        <f t="shared" si="208"/>
        <v>79988.643657860026</v>
      </c>
      <c r="I142" s="25">
        <f t="shared" si="208"/>
        <v>80025.986634405126</v>
      </c>
      <c r="J142" s="25">
        <f t="shared" si="208"/>
        <v>80278.271065647466</v>
      </c>
      <c r="K142" s="25">
        <f t="shared" si="208"/>
        <v>81349.069499397083</v>
      </c>
      <c r="L142" s="25">
        <f t="shared" si="208"/>
        <v>82380.680166131031</v>
      </c>
      <c r="M142" s="25">
        <f t="shared" si="208"/>
        <v>82711.515185863333</v>
      </c>
      <c r="N142" s="25">
        <f t="shared" si="208"/>
        <v>81773.499014404792</v>
      </c>
      <c r="O142" s="25">
        <f t="shared" si="208"/>
        <v>80829.656655545929</v>
      </c>
      <c r="P142" s="25">
        <f t="shared" si="208"/>
        <v>79876.103984353147</v>
      </c>
      <c r="Q142" s="25">
        <f t="shared" si="208"/>
        <v>78945.856062761814</v>
      </c>
      <c r="R142" s="25">
        <f t="shared" ref="R142:T142" si="209">R3+R9+R15+R21+R27+R33+R39+R45+R51+R57+R63+R69+R75+R81+R87+R93+R99+R105+R111+R117+R123+R129+R135</f>
        <v>78026.508861733178</v>
      </c>
      <c r="S142" s="25">
        <f t="shared" si="209"/>
        <v>77117.934645739952</v>
      </c>
      <c r="T142" s="25">
        <f t="shared" si="209"/>
        <v>76220.007176070125</v>
      </c>
    </row>
    <row r="143" spans="1:20" ht="15.75" customHeight="1" x14ac:dyDescent="0.25">
      <c r="A143" s="21" t="s">
        <v>320</v>
      </c>
      <c r="B143" s="25"/>
      <c r="C143" s="25"/>
      <c r="D143" s="25">
        <f>D142-D144</f>
        <v>52564</v>
      </c>
      <c r="E143" s="25">
        <f t="shared" ref="E143:Q143" si="210">E142-E144</f>
        <v>50643</v>
      </c>
      <c r="F143" s="25">
        <f t="shared" si="210"/>
        <v>53596.41532617998</v>
      </c>
      <c r="G143" s="25">
        <f t="shared" si="210"/>
        <v>53354.880959538583</v>
      </c>
      <c r="H143" s="25">
        <f t="shared" si="210"/>
        <v>52775.313867957419</v>
      </c>
      <c r="I143" s="25">
        <f t="shared" si="210"/>
        <v>52203.926150652631</v>
      </c>
      <c r="J143" s="25">
        <f t="shared" si="210"/>
        <v>51639.549325584681</v>
      </c>
      <c r="K143" s="25">
        <f t="shared" si="210"/>
        <v>52137.297619385135</v>
      </c>
      <c r="L143" s="25">
        <f t="shared" si="210"/>
        <v>52614.082070336808</v>
      </c>
      <c r="M143" s="25">
        <f t="shared" si="210"/>
        <v>53062.598694291737</v>
      </c>
      <c r="N143" s="25">
        <f t="shared" si="210"/>
        <v>52462.831020965539</v>
      </c>
      <c r="O143" s="25">
        <f t="shared" si="210"/>
        <v>51859.338082587667</v>
      </c>
      <c r="P143" s="25">
        <f t="shared" si="210"/>
        <v>51249.636369123618</v>
      </c>
      <c r="Q143" s="25">
        <f t="shared" si="210"/>
        <v>50654.835715866444</v>
      </c>
      <c r="R143" s="25">
        <f t="shared" ref="R143:T143" si="211">R142-R144</f>
        <v>50067.004984886065</v>
      </c>
      <c r="S143" s="25">
        <f t="shared" si="211"/>
        <v>49486.06250206822</v>
      </c>
      <c r="T143" s="25">
        <f t="shared" si="211"/>
        <v>48911.927550362496</v>
      </c>
    </row>
    <row r="144" spans="1:20" ht="15" customHeight="1" x14ac:dyDescent="0.25">
      <c r="A144" s="21" t="s">
        <v>321</v>
      </c>
      <c r="B144" s="25"/>
      <c r="C144" s="25"/>
      <c r="D144" s="25">
        <f>D87+D93+D99+D105</f>
        <v>25367</v>
      </c>
      <c r="E144" s="25">
        <f t="shared" ref="E144:Q144" si="212">E87+E93+E99+E105</f>
        <v>26616</v>
      </c>
      <c r="F144" s="25">
        <f t="shared" si="212"/>
        <v>26874.898736329629</v>
      </c>
      <c r="G144" s="25">
        <f t="shared" si="212"/>
        <v>26588.689204422251</v>
      </c>
      <c r="H144" s="25">
        <f t="shared" si="212"/>
        <v>27213.329789902607</v>
      </c>
      <c r="I144" s="25">
        <f t="shared" si="212"/>
        <v>27822.060483752495</v>
      </c>
      <c r="J144" s="25">
        <f t="shared" si="212"/>
        <v>28638.721740062789</v>
      </c>
      <c r="K144" s="25">
        <f t="shared" si="212"/>
        <v>29211.771880011944</v>
      </c>
      <c r="L144" s="25">
        <f t="shared" si="212"/>
        <v>29766.598095794223</v>
      </c>
      <c r="M144" s="25">
        <f t="shared" si="212"/>
        <v>29648.916491571596</v>
      </c>
      <c r="N144" s="25">
        <f t="shared" si="212"/>
        <v>29310.667993439252</v>
      </c>
      <c r="O144" s="25">
        <f t="shared" si="212"/>
        <v>28970.318572958262</v>
      </c>
      <c r="P144" s="25">
        <f t="shared" si="212"/>
        <v>28626.467615229525</v>
      </c>
      <c r="Q144" s="25">
        <f t="shared" si="212"/>
        <v>28291.02034689537</v>
      </c>
      <c r="R144" s="25">
        <f t="shared" ref="R144:T144" si="213">R87+R93+R99+R105</f>
        <v>27959.503876847109</v>
      </c>
      <c r="S144" s="25">
        <f t="shared" si="213"/>
        <v>27631.872143671735</v>
      </c>
      <c r="T144" s="25">
        <f t="shared" si="213"/>
        <v>27308.079625707629</v>
      </c>
    </row>
    <row r="145" spans="1:20" x14ac:dyDescent="0.25">
      <c r="A145" s="26" t="s">
        <v>234</v>
      </c>
      <c r="B145" s="25">
        <f t="shared" ref="B145:C145" si="214">B4+B10+B16+B22+B28+B34+B40+B46+B52+B58+B64+B70+B76+B82+B112+B118+B124+B136</f>
        <v>980</v>
      </c>
      <c r="C145" s="25">
        <f t="shared" si="214"/>
        <v>16411</v>
      </c>
      <c r="D145" s="25">
        <f>D4+D10+D16+D22+D28+D34+D40+D46+D52+D58+D64+D70+D76+D82+D88+D94+D100+D106+D112+D118+D124+D130+D136</f>
        <v>24569</v>
      </c>
      <c r="E145" s="45">
        <f t="shared" ref="E145:Q145" si="215">E4+E10+E16+E22+E28+E34+E40+E46+E52+E58+E64+E70+E76+E82+E88+E94+E100+E106+E112+E118+E124+E130+E136</f>
        <v>23732.5</v>
      </c>
      <c r="F145" s="25">
        <f t="shared" si="215"/>
        <v>24427.5</v>
      </c>
      <c r="G145" s="25">
        <f t="shared" si="215"/>
        <v>24427.5</v>
      </c>
      <c r="H145" s="25">
        <f t="shared" si="215"/>
        <v>24427.5</v>
      </c>
      <c r="I145" s="25">
        <f t="shared" si="215"/>
        <v>24427.5</v>
      </c>
      <c r="J145" s="25">
        <f t="shared" si="215"/>
        <v>24824.5</v>
      </c>
      <c r="K145" s="25">
        <f t="shared" si="215"/>
        <v>25171.5</v>
      </c>
      <c r="L145" s="25">
        <f t="shared" si="215"/>
        <v>25469.5</v>
      </c>
      <c r="M145" s="25">
        <f t="shared" si="215"/>
        <v>25469.5</v>
      </c>
      <c r="N145" s="25">
        <f t="shared" si="215"/>
        <v>25469.5</v>
      </c>
      <c r="O145" s="25">
        <f t="shared" si="215"/>
        <v>25469.5</v>
      </c>
      <c r="P145" s="25">
        <f t="shared" si="215"/>
        <v>25469.5</v>
      </c>
      <c r="Q145" s="25">
        <f t="shared" si="215"/>
        <v>25469.5</v>
      </c>
      <c r="R145" s="25">
        <f t="shared" ref="R145:T145" si="216">R4+R10+R16+R22+R28+R34+R40+R46+R52+R58+R64+R70+R76+R82+R88+R94+R100+R106+R112+R118+R124+R130+R136</f>
        <v>25469.5</v>
      </c>
      <c r="S145" s="25">
        <f t="shared" si="216"/>
        <v>25469.5</v>
      </c>
      <c r="T145" s="25">
        <f t="shared" si="216"/>
        <v>25469.5</v>
      </c>
    </row>
    <row r="146" spans="1:20" ht="15.75" customHeight="1" x14ac:dyDescent="0.25">
      <c r="A146" s="21" t="s">
        <v>320</v>
      </c>
      <c r="B146" s="25"/>
      <c r="C146" s="25"/>
      <c r="D146" s="25">
        <f>D145-D147</f>
        <v>20420</v>
      </c>
      <c r="E146" s="25">
        <f t="shared" ref="E146:Q146" si="217">E145-E147</f>
        <v>21057.5</v>
      </c>
      <c r="F146" s="25">
        <f t="shared" si="217"/>
        <v>21015.5</v>
      </c>
      <c r="G146" s="25">
        <f t="shared" si="217"/>
        <v>21015.5</v>
      </c>
      <c r="H146" s="25">
        <f t="shared" si="217"/>
        <v>21015.5</v>
      </c>
      <c r="I146" s="25">
        <f t="shared" si="217"/>
        <v>21015.5</v>
      </c>
      <c r="J146" s="25">
        <f t="shared" si="217"/>
        <v>21412.5</v>
      </c>
      <c r="K146" s="25">
        <f t="shared" si="217"/>
        <v>21759.5</v>
      </c>
      <c r="L146" s="25">
        <f t="shared" si="217"/>
        <v>22057.5</v>
      </c>
      <c r="M146" s="25">
        <f t="shared" si="217"/>
        <v>22057.5</v>
      </c>
      <c r="N146" s="25">
        <f t="shared" si="217"/>
        <v>22057.5</v>
      </c>
      <c r="O146" s="25">
        <f t="shared" si="217"/>
        <v>22057.5</v>
      </c>
      <c r="P146" s="25">
        <f t="shared" si="217"/>
        <v>22057.5</v>
      </c>
      <c r="Q146" s="25">
        <f t="shared" si="217"/>
        <v>22057.5</v>
      </c>
      <c r="R146" s="25">
        <f t="shared" ref="R146:T146" si="218">R145-R147</f>
        <v>22057.5</v>
      </c>
      <c r="S146" s="25">
        <f t="shared" si="218"/>
        <v>22057.5</v>
      </c>
      <c r="T146" s="25">
        <f t="shared" si="218"/>
        <v>22057.5</v>
      </c>
    </row>
    <row r="147" spans="1:20" ht="15" customHeight="1" x14ac:dyDescent="0.25">
      <c r="A147" s="21" t="s">
        <v>321</v>
      </c>
      <c r="B147" s="25"/>
      <c r="C147" s="25"/>
      <c r="D147" s="25">
        <f>D88+D94+D100+D106</f>
        <v>4149</v>
      </c>
      <c r="E147" s="25">
        <f t="shared" ref="E147:Q147" si="219">E88+E94+E100+E106</f>
        <v>2675</v>
      </c>
      <c r="F147" s="25">
        <f t="shared" si="219"/>
        <v>3412</v>
      </c>
      <c r="G147" s="25">
        <f t="shared" si="219"/>
        <v>3412</v>
      </c>
      <c r="H147" s="25">
        <f t="shared" si="219"/>
        <v>3412</v>
      </c>
      <c r="I147" s="25">
        <f t="shared" si="219"/>
        <v>3412</v>
      </c>
      <c r="J147" s="25">
        <f t="shared" si="219"/>
        <v>3412</v>
      </c>
      <c r="K147" s="25">
        <f t="shared" si="219"/>
        <v>3412</v>
      </c>
      <c r="L147" s="25">
        <f t="shared" si="219"/>
        <v>3412</v>
      </c>
      <c r="M147" s="25">
        <f t="shared" si="219"/>
        <v>3412</v>
      </c>
      <c r="N147" s="25">
        <f t="shared" si="219"/>
        <v>3412</v>
      </c>
      <c r="O147" s="25">
        <f t="shared" si="219"/>
        <v>3412</v>
      </c>
      <c r="P147" s="25">
        <f t="shared" si="219"/>
        <v>3412</v>
      </c>
      <c r="Q147" s="25">
        <f t="shared" si="219"/>
        <v>3412</v>
      </c>
      <c r="R147" s="25">
        <f t="shared" ref="R147:T147" si="220">R88+R94+R100+R106</f>
        <v>3412</v>
      </c>
      <c r="S147" s="25">
        <f t="shared" si="220"/>
        <v>3412</v>
      </c>
      <c r="T147" s="25">
        <f t="shared" si="220"/>
        <v>3412</v>
      </c>
    </row>
    <row r="148" spans="1:20" x14ac:dyDescent="0.25">
      <c r="A148" s="31" t="s">
        <v>226</v>
      </c>
      <c r="B148" s="25">
        <f>B142+B145</f>
        <v>51140</v>
      </c>
      <c r="C148" s="72">
        <f t="shared" ref="C148:P148" si="221">C142+C145</f>
        <v>72946.025480782351</v>
      </c>
      <c r="D148" s="72">
        <f>D142+D145+135</f>
        <v>102635</v>
      </c>
      <c r="E148" s="25">
        <f t="shared" si="221"/>
        <v>100991.5</v>
      </c>
      <c r="F148" s="25">
        <f t="shared" si="221"/>
        <v>104898.81406250961</v>
      </c>
      <c r="G148" s="25">
        <f t="shared" si="221"/>
        <v>104371.07016396083</v>
      </c>
      <c r="H148" s="25">
        <f t="shared" si="221"/>
        <v>104416.14365786003</v>
      </c>
      <c r="I148" s="25">
        <f t="shared" si="221"/>
        <v>104453.48663440513</v>
      </c>
      <c r="J148" s="25">
        <f t="shared" si="221"/>
        <v>105102.77106564747</v>
      </c>
      <c r="K148" s="25">
        <f t="shared" si="221"/>
        <v>106520.56949939708</v>
      </c>
      <c r="L148" s="25">
        <f t="shared" si="221"/>
        <v>107850.18016613103</v>
      </c>
      <c r="M148" s="25">
        <f t="shared" si="221"/>
        <v>108181.01518586333</v>
      </c>
      <c r="N148" s="25">
        <f t="shared" si="221"/>
        <v>107242.99901440479</v>
      </c>
      <c r="O148" s="25">
        <f t="shared" si="221"/>
        <v>106299.15665554593</v>
      </c>
      <c r="P148" s="25">
        <f t="shared" si="221"/>
        <v>105345.60398435315</v>
      </c>
      <c r="Q148" s="25">
        <f t="shared" ref="Q148:T148" si="222">Q142+Q145</f>
        <v>104415.35606276181</v>
      </c>
      <c r="R148" s="25">
        <f t="shared" si="222"/>
        <v>103496.00886173318</v>
      </c>
      <c r="S148" s="25">
        <f t="shared" si="222"/>
        <v>102587.43464573995</v>
      </c>
      <c r="T148" s="25">
        <f t="shared" si="222"/>
        <v>101689.50717607012</v>
      </c>
    </row>
    <row r="149" spans="1:20" x14ac:dyDescent="0.25">
      <c r="A149" s="31" t="s">
        <v>235</v>
      </c>
      <c r="B149" s="25">
        <f>B8+B14+B20+B26+B32+B38+B44+B50+B56+B62+B68+B74+B80+B86+B116+B122+B128+B140</f>
        <v>60766.496664253391</v>
      </c>
      <c r="C149" s="25">
        <f t="shared" ref="C149" si="223">C8+C14+C20+C26+C32+C38+C44+C50+C56+C62+C68+C74+C80+C86+C116+C122+C128+C140</f>
        <v>85106.978695159109</v>
      </c>
      <c r="D149" s="25">
        <f>D8+D14+D20+D26+D32+D38+D44+D50+D56+D62+D68+D74+D80+D86+D92+D98+D104+D110+D116+D122+D128+D134+D140</f>
        <v>151602.39649303776</v>
      </c>
      <c r="E149" s="25">
        <f t="shared" ref="E149:Q149" si="224">E8+E14+E20+E26+E32+E38+E44+E50+E56+E62+E68+E74+E80+E86+E92+E98+E104+E110+E116+E122+E128+E134+E140</f>
        <v>150237.62569907555</v>
      </c>
      <c r="F149" s="25">
        <f t="shared" si="224"/>
        <v>153267.83723785015</v>
      </c>
      <c r="G149" s="25">
        <f t="shared" si="224"/>
        <v>137648.92807889706</v>
      </c>
      <c r="H149" s="25">
        <f>H8+H14+H20+H26+H32+H38+H44+H50+H56+H62+H68+H74+H80+H86+H92+H98+H104+H110+H116+H122+H128+H134+H140</f>
        <v>126053.59572448164</v>
      </c>
      <c r="I149" s="25">
        <f t="shared" si="224"/>
        <v>124773.96410707411</v>
      </c>
      <c r="J149" s="25">
        <f t="shared" si="224"/>
        <v>125677.11025190883</v>
      </c>
      <c r="K149" s="25">
        <f t="shared" si="224"/>
        <v>126797.605419653</v>
      </c>
      <c r="L149" s="25">
        <f t="shared" si="224"/>
        <v>128358.90387156143</v>
      </c>
      <c r="M149" s="25">
        <f t="shared" si="224"/>
        <v>128631.46908624016</v>
      </c>
      <c r="N149" s="25">
        <f t="shared" si="224"/>
        <v>127497.02950843751</v>
      </c>
      <c r="O149" s="25">
        <f t="shared" si="224"/>
        <v>126355.54372207713</v>
      </c>
      <c r="P149" s="25">
        <f t="shared" si="224"/>
        <v>125202.31425478714</v>
      </c>
      <c r="Q149" s="25">
        <f t="shared" si="224"/>
        <v>124077.26962172819</v>
      </c>
      <c r="R149" s="25">
        <f t="shared" ref="R149:T149" si="225">R8+R14+R20+R26+R32+R38+R44+R50+R56+R62+R68+R74+R80+R86+R92+R98+R104+R110+R116+R122+R128+R134+R140</f>
        <v>122965.40835288969</v>
      </c>
      <c r="S149" s="25">
        <f t="shared" si="225"/>
        <v>121866.57596454071</v>
      </c>
      <c r="T149" s="25">
        <f t="shared" si="225"/>
        <v>120780.61978320348</v>
      </c>
    </row>
    <row r="150" spans="1:20" x14ac:dyDescent="0.25">
      <c r="A150" s="21" t="s">
        <v>236</v>
      </c>
      <c r="B150" s="25">
        <f>B149-B148</f>
        <v>9626.4966642533909</v>
      </c>
      <c r="C150" s="25">
        <f t="shared" ref="C150:P150" si="226">C149-C148</f>
        <v>12160.953214376757</v>
      </c>
      <c r="D150" s="25">
        <f t="shared" si="226"/>
        <v>48967.396493037755</v>
      </c>
      <c r="E150" s="25">
        <f t="shared" si="226"/>
        <v>49246.12569907555</v>
      </c>
      <c r="F150" s="25">
        <f t="shared" si="226"/>
        <v>48369.023175340539</v>
      </c>
      <c r="G150" s="25">
        <f t="shared" si="226"/>
        <v>33277.857914936234</v>
      </c>
      <c r="H150" s="25">
        <f>H149-H148</f>
        <v>21637.452066621612</v>
      </c>
      <c r="I150" s="25">
        <f t="shared" si="226"/>
        <v>20320.477472668979</v>
      </c>
      <c r="J150" s="25">
        <f t="shared" si="226"/>
        <v>20574.339186261364</v>
      </c>
      <c r="K150" s="25">
        <f t="shared" si="226"/>
        <v>20277.035920255919</v>
      </c>
      <c r="L150" s="25">
        <f t="shared" si="226"/>
        <v>20508.723705430399</v>
      </c>
      <c r="M150" s="25">
        <f t="shared" si="226"/>
        <v>20450.45390037683</v>
      </c>
      <c r="N150" s="25">
        <f t="shared" si="226"/>
        <v>20254.030494032719</v>
      </c>
      <c r="O150" s="25">
        <f t="shared" si="226"/>
        <v>20056.387066531199</v>
      </c>
      <c r="P150" s="25">
        <f t="shared" si="226"/>
        <v>19856.710270433992</v>
      </c>
      <c r="Q150" s="25">
        <f t="shared" ref="Q150:T150" si="227">Q149-Q148</f>
        <v>19661.913558966378</v>
      </c>
      <c r="R150" s="25">
        <f t="shared" si="227"/>
        <v>19469.39949115651</v>
      </c>
      <c r="S150" s="25">
        <f t="shared" si="227"/>
        <v>19279.141318800757</v>
      </c>
      <c r="T150" s="25">
        <f t="shared" si="227"/>
        <v>19091.112607133357</v>
      </c>
    </row>
    <row r="151" spans="1:20" x14ac:dyDescent="0.25">
      <c r="A151" s="23" t="s">
        <v>237</v>
      </c>
      <c r="B151" s="37">
        <f>B150/B149</f>
        <v>0.15841783207351315</v>
      </c>
      <c r="C151" s="37">
        <f t="shared" ref="C151:P151" si="228">C150/C149</f>
        <v>0.14289020008494877</v>
      </c>
      <c r="D151" s="37">
        <f t="shared" si="228"/>
        <v>0.3229988286846544</v>
      </c>
      <c r="E151" s="37">
        <f t="shared" si="228"/>
        <v>0.32778823194207718</v>
      </c>
      <c r="F151" s="37">
        <f t="shared" si="228"/>
        <v>0.31558495276656517</v>
      </c>
      <c r="G151" s="37">
        <f t="shared" si="228"/>
        <v>0.24175893252043462</v>
      </c>
      <c r="H151" s="37">
        <f t="shared" si="228"/>
        <v>0.17165279532299188</v>
      </c>
      <c r="I151" s="37">
        <f t="shared" si="228"/>
        <v>0.1628583143774375</v>
      </c>
      <c r="J151" s="37">
        <f t="shared" si="228"/>
        <v>0.16370792696475828</v>
      </c>
      <c r="K151" s="37">
        <f t="shared" si="228"/>
        <v>0.15991655247073838</v>
      </c>
      <c r="L151" s="37">
        <f t="shared" si="228"/>
        <v>0.15977640106643362</v>
      </c>
      <c r="M151" s="37">
        <f t="shared" si="228"/>
        <v>0.15898484286660794</v>
      </c>
      <c r="N151" s="37">
        <f t="shared" si="228"/>
        <v>0.15885884221869143</v>
      </c>
      <c r="O151" s="37">
        <f t="shared" si="228"/>
        <v>0.15872977532862217</v>
      </c>
      <c r="P151" s="37">
        <f t="shared" si="228"/>
        <v>0.15859699070758004</v>
      </c>
      <c r="Q151" s="37">
        <f t="shared" ref="Q151:T151" si="229">Q150/Q149</f>
        <v>0.15846507276400623</v>
      </c>
      <c r="R151" s="37">
        <f t="shared" si="229"/>
        <v>0.15833232900168692</v>
      </c>
      <c r="S151" s="37">
        <f t="shared" si="229"/>
        <v>0.15819876094992916</v>
      </c>
      <c r="T151" s="37">
        <f t="shared" si="229"/>
        <v>0.15806437027232648</v>
      </c>
    </row>
  </sheetData>
  <sheetProtection algorithmName="SHA-512" hashValue="MBcaWI9wUNG7Oys+I4Ur7+NKTwxKrt+5/fp71H+yx2i8CinpexJOd9mQ0D/Q8SaIkHsARJ7o4525tkueDVYqYA==" saltValue="6C6aAvGMJX9Iq2NFEfEIEQ==" spinCount="100000" sheet="1" objects="1" scenarios="1" selectLockedCells="1" selectUnlockedCells="1"/>
  <pageMargins left="0.7" right="0.7" top="0.75" bottom="0.75" header="0.3" footer="0.3"/>
  <pageSetup paperSize="9" orientation="portrait" r:id="rId1"/>
  <ignoredErrors>
    <ignoredError sqref="F5 G5 G17:Q17 F53:G53 H53:Q53 F58 F65:Q65 D148 I5:Q5" formula="1"/>
    <ignoredError sqref="K37:P37 K38:P38 K43:P43 K44:P44 K49:P50 C55:C56 C61:C62 C73:E74 C115:C11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5</vt:i4>
      </vt:variant>
    </vt:vector>
  </HeadingPairs>
  <TitlesOfParts>
    <vt:vector size="5" baseType="lpstr">
      <vt:lpstr>Rahvaloendus</vt:lpstr>
      <vt:lpstr>Demogr.trend alates 2012</vt:lpstr>
      <vt:lpstr>Majapidamiste nõudlus asulates</vt:lpstr>
      <vt:lpstr>Veebilansi prognoos Ramsi VK</vt:lpstr>
      <vt:lpstr>Reoveebilansi prognoos Ramsi VK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2021-05-01T22:45:34Z</dcterms:modified>
</cp:coreProperties>
</file>